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aveงานจากเครื่อง D\ปืน\รายการบัญชี 68-69\"/>
    </mc:Choice>
  </mc:AlternateContent>
  <bookViews>
    <workbookView xWindow="0" yWindow="11145" windowWidth="12120" windowHeight="4455" firstSheet="5" activeTab="5"/>
  </bookViews>
  <sheets>
    <sheet name="ยืนยันยอดลูกหนี้" sheetId="30" state="hidden" r:id="rId1"/>
    <sheet name="กระดาษทำการ 30 เม.ย.58" sheetId="29" state="hidden" r:id="rId2"/>
    <sheet name="งบทดลอง" sheetId="32" state="hidden" r:id="rId3"/>
    <sheet name="งบทดลองส่งรายเดือนปี59-60" sheetId="34" state="hidden" r:id="rId4"/>
    <sheet name="งบทดลองส่งรายเดือนปี60-61" sheetId="36" state="hidden" r:id="rId5"/>
    <sheet name="งบทดลองระหว่างเดือน 30เม.ย.69" sheetId="37" r:id="rId6"/>
    <sheet name="Sheet2" sheetId="38" r:id="rId7"/>
    <sheet name="Sheet1" sheetId="35" state="hidden" r:id="rId8"/>
    <sheet name="งบทดลอง แก้ไขใหม่" sheetId="33" state="hidden" r:id="rId9"/>
  </sheets>
  <definedNames>
    <definedName name="_xlnm.Print_Area" localSheetId="7">Sheet1!$A$1:$L$29</definedName>
    <definedName name="_xlnm.Print_Area" localSheetId="1">'กระดาษทำการ 30 เม.ย.58'!$A$1:$BQ$113</definedName>
    <definedName name="_xlnm.Print_Area" localSheetId="2">งบทดลอง!$A$1:$BN$100</definedName>
    <definedName name="_xlnm.Print_Area" localSheetId="8">'งบทดลอง แก้ไขใหม่'!$A$1:$CG$100</definedName>
    <definedName name="_xlnm.Print_Area" localSheetId="5">'งบทดลองระหว่างเดือน 30เม.ย.69'!$A$1:$AZ$97</definedName>
    <definedName name="_xlnm.Print_Area" localSheetId="3">'งบทดลองส่งรายเดือนปี59-60'!$A$1:$CX$105</definedName>
    <definedName name="_xlnm.Print_Area" localSheetId="4">'งบทดลองส่งรายเดือนปี60-61'!$A$1:$BE$113</definedName>
    <definedName name="_xlnm.Print_Titles" localSheetId="1">'กระดาษทำการ 30 เม.ย.58'!$7:$9</definedName>
    <definedName name="_xlnm.Print_Titles" localSheetId="2">งบทดลอง!$4:$6</definedName>
    <definedName name="_xlnm.Print_Titles" localSheetId="8">'งบทดลอง แก้ไขใหม่'!$4:$6</definedName>
    <definedName name="_xlnm.Print_Titles" localSheetId="5">'งบทดลองระหว่างเดือน 30เม.ย.69'!$4:$6</definedName>
    <definedName name="_xlnm.Print_Titles" localSheetId="3">'งบทดลองส่งรายเดือนปี59-60'!$4:$6</definedName>
  </definedNames>
  <calcPr calcId="152511"/>
</workbook>
</file>

<file path=xl/calcChain.xml><?xml version="1.0" encoding="utf-8"?>
<calcChain xmlns="http://schemas.openxmlformats.org/spreadsheetml/2006/main">
  <c r="AH81" i="37" l="1"/>
  <c r="AD81" i="37" l="1"/>
  <c r="AD65" i="37"/>
  <c r="Z77" i="37" l="1"/>
  <c r="Z65" i="37"/>
  <c r="Z81" i="37"/>
  <c r="V81" i="37" l="1"/>
  <c r="Y54" i="37"/>
  <c r="Y52" i="37"/>
  <c r="Y53" i="37"/>
  <c r="AF53" i="37"/>
  <c r="AF55" i="37"/>
  <c r="AF56" i="37"/>
  <c r="AF57" i="37"/>
  <c r="X53" i="37"/>
  <c r="X55" i="37"/>
  <c r="X56" i="37"/>
  <c r="X57" i="37"/>
  <c r="AB53" i="37"/>
  <c r="AN54" i="37"/>
  <c r="AR54" i="37" s="1"/>
  <c r="AV54" i="37" s="1"/>
  <c r="AZ54" i="37" s="1"/>
  <c r="AB55" i="37"/>
  <c r="AB56" i="37"/>
  <c r="AN52" i="37"/>
  <c r="AR52" i="37" s="1"/>
  <c r="AV52" i="37" s="1"/>
  <c r="AZ52" i="37" s="1"/>
  <c r="V8" i="37"/>
  <c r="W8" i="37"/>
  <c r="R65" i="37" l="1"/>
  <c r="M38" i="37"/>
  <c r="I38" i="37"/>
  <c r="Q38" i="37"/>
  <c r="P29" i="37"/>
  <c r="P31" i="37"/>
  <c r="D51" i="37"/>
  <c r="AB38" i="37"/>
  <c r="L37" i="37"/>
  <c r="P37" i="37" s="1"/>
  <c r="T37" i="37" s="1"/>
  <c r="X37" i="37" s="1"/>
  <c r="AB37" i="37" s="1"/>
  <c r="AF37" i="37" s="1"/>
  <c r="Q36" i="37"/>
  <c r="U36" i="37" s="1"/>
  <c r="Y36" i="37" s="1"/>
  <c r="AC36" i="37" s="1"/>
  <c r="AG36" i="37" s="1"/>
  <c r="I36" i="37"/>
  <c r="M36" i="37" s="1"/>
  <c r="I37" i="37"/>
  <c r="M37" i="37" s="1"/>
  <c r="Q37" i="37" s="1"/>
  <c r="U37" i="37" s="1"/>
  <c r="Y37" i="37" s="1"/>
  <c r="AC37" i="37" s="1"/>
  <c r="AG37" i="37" s="1"/>
  <c r="H36" i="37"/>
  <c r="L36" i="37" s="1"/>
  <c r="P36" i="37" s="1"/>
  <c r="T36" i="37" s="1"/>
  <c r="X36" i="37" s="1"/>
  <c r="AB36" i="37" s="1"/>
  <c r="AF36" i="37" s="1"/>
  <c r="H37" i="37"/>
  <c r="H38" i="37"/>
  <c r="L38" i="37" s="1"/>
  <c r="H39" i="37"/>
  <c r="H40" i="37"/>
  <c r="N81" i="37" l="1"/>
  <c r="M42" i="37" l="1"/>
  <c r="Q42" i="37"/>
  <c r="U42" i="37" s="1"/>
  <c r="Y42" i="37" s="1"/>
  <c r="AC42" i="37" s="1"/>
  <c r="AG42" i="37" s="1"/>
  <c r="AK42" i="37" s="1"/>
  <c r="AO42" i="37" s="1"/>
  <c r="AS42" i="37" s="1"/>
  <c r="AW42" i="37" s="1"/>
  <c r="BA42" i="37" s="1"/>
  <c r="J65" i="37"/>
  <c r="F65" i="37" l="1"/>
  <c r="F62" i="37"/>
  <c r="AY95" i="37" l="1"/>
  <c r="AX95" i="37" l="1"/>
  <c r="AU95" i="37" l="1"/>
  <c r="AT95" i="37"/>
  <c r="BA12" i="37"/>
  <c r="BA10" i="37"/>
  <c r="AQ95" i="37" l="1"/>
  <c r="AP95" i="37" l="1"/>
  <c r="AM95" i="37" l="1"/>
  <c r="AL95" i="37"/>
  <c r="AI95" i="37" l="1"/>
  <c r="AH95" i="37"/>
  <c r="AG10" i="37" l="1"/>
  <c r="AK10" i="37" s="1"/>
  <c r="AO10" i="37" s="1"/>
  <c r="AS10" i="37" s="1"/>
  <c r="AG12" i="37"/>
  <c r="AK12" i="37" s="1"/>
  <c r="AO12" i="37" s="1"/>
  <c r="AS12" i="37" s="1"/>
  <c r="AG14" i="37"/>
  <c r="AG27" i="37"/>
  <c r="AK27" i="37" s="1"/>
  <c r="AO27" i="37" s="1"/>
  <c r="AS27" i="37" s="1"/>
  <c r="AW27" i="37" s="1"/>
  <c r="BA27" i="37" s="1"/>
  <c r="AG31" i="37"/>
  <c r="AG33" i="37"/>
  <c r="AK33" i="37" s="1"/>
  <c r="AO33" i="37" s="1"/>
  <c r="AS33" i="37" s="1"/>
  <c r="AW33" i="37" s="1"/>
  <c r="BA33" i="37" s="1"/>
  <c r="AK63" i="37"/>
  <c r="AO63" i="37" s="1"/>
  <c r="AS63" i="37" s="1"/>
  <c r="AG67" i="37"/>
  <c r="AK67" i="37" s="1"/>
  <c r="AO67" i="37" s="1"/>
  <c r="AS67" i="37" s="1"/>
  <c r="AW67" i="37" s="1"/>
  <c r="BA67" i="37" s="1"/>
  <c r="AG73" i="37"/>
  <c r="AK73" i="37" s="1"/>
  <c r="AO73" i="37" s="1"/>
  <c r="AS73" i="37" s="1"/>
  <c r="AW73" i="37" s="1"/>
  <c r="BA73" i="37" s="1"/>
  <c r="AK75" i="37"/>
  <c r="AO75" i="37" s="1"/>
  <c r="AS75" i="37" s="1"/>
  <c r="AG76" i="37"/>
  <c r="AK76" i="37" s="1"/>
  <c r="AO76" i="37" s="1"/>
  <c r="AS76" i="37" s="1"/>
  <c r="AW76" i="37" s="1"/>
  <c r="BA76" i="37" s="1"/>
  <c r="AG79" i="37"/>
  <c r="AG80" i="37"/>
  <c r="AK80" i="37" s="1"/>
  <c r="AO80" i="37" s="1"/>
  <c r="AS80" i="37" s="1"/>
  <c r="AW80" i="37" s="1"/>
  <c r="BA80" i="37" s="1"/>
  <c r="AG82" i="37"/>
  <c r="AK82" i="37" s="1"/>
  <c r="AO82" i="37" s="1"/>
  <c r="AS82" i="37" s="1"/>
  <c r="AW82" i="37" s="1"/>
  <c r="BA82" i="37" s="1"/>
  <c r="AG83" i="37"/>
  <c r="AK83" i="37" s="1"/>
  <c r="AO83" i="37" s="1"/>
  <c r="AS83" i="37" s="1"/>
  <c r="AW83" i="37" s="1"/>
  <c r="BA83" i="37" s="1"/>
  <c r="AG84" i="37"/>
  <c r="AK84" i="37" s="1"/>
  <c r="AO84" i="37" s="1"/>
  <c r="AS84" i="37" s="1"/>
  <c r="AW84" i="37" s="1"/>
  <c r="BA84" i="37" s="1"/>
  <c r="AG93" i="37"/>
  <c r="AK93" i="37" s="1"/>
  <c r="AO93" i="37" s="1"/>
  <c r="AS93" i="37" s="1"/>
  <c r="AW93" i="37" s="1"/>
  <c r="BA93" i="37" s="1"/>
  <c r="AG94" i="37"/>
  <c r="AK94" i="37" s="1"/>
  <c r="AO94" i="37" s="1"/>
  <c r="AS94" i="37" s="1"/>
  <c r="AW94" i="37" s="1"/>
  <c r="BA94" i="37" s="1"/>
  <c r="AF20" i="37"/>
  <c r="AJ20" i="37" s="1"/>
  <c r="AN20" i="37" s="1"/>
  <c r="AR20" i="37" s="1"/>
  <c r="AV20" i="37" s="1"/>
  <c r="AZ20" i="37" s="1"/>
  <c r="AF43" i="37"/>
  <c r="AJ43" i="37" s="1"/>
  <c r="AN43" i="37" s="1"/>
  <c r="AR43" i="37" s="1"/>
  <c r="AV43" i="37" s="1"/>
  <c r="AZ43" i="37" s="1"/>
  <c r="AF46" i="37"/>
  <c r="AJ46" i="37" s="1"/>
  <c r="AJ55" i="37"/>
  <c r="AN55" i="37" s="1"/>
  <c r="AR55" i="37" s="1"/>
  <c r="AJ57" i="37"/>
  <c r="AN57" i="37" s="1"/>
  <c r="AR57" i="37" s="1"/>
  <c r="AF87" i="37"/>
  <c r="AJ87" i="37" s="1"/>
  <c r="AN87" i="37" s="1"/>
  <c r="AR87" i="37" s="1"/>
  <c r="AV87" i="37" s="1"/>
  <c r="AZ87" i="37" s="1"/>
  <c r="AF13" i="37"/>
  <c r="AE95" i="37"/>
  <c r="AD95" i="37"/>
  <c r="AA95" i="37" l="1"/>
  <c r="Z95" i="37" l="1"/>
  <c r="W95" i="37" l="1"/>
  <c r="V95" i="37"/>
  <c r="H8" i="37"/>
  <c r="L8" i="37" s="1"/>
  <c r="R95" i="37"/>
  <c r="S95" i="37"/>
  <c r="H69" i="37"/>
  <c r="H70" i="37"/>
  <c r="H71" i="37"/>
  <c r="H72" i="37"/>
  <c r="H73" i="37"/>
  <c r="H74" i="37"/>
  <c r="H75" i="37"/>
  <c r="H76" i="37"/>
  <c r="H77" i="37"/>
  <c r="H78" i="37"/>
  <c r="H79" i="37"/>
  <c r="H80" i="37"/>
  <c r="H82" i="37"/>
  <c r="H83" i="37"/>
  <c r="H84" i="37"/>
  <c r="H85" i="37"/>
  <c r="H86" i="37"/>
  <c r="H87" i="37"/>
  <c r="H88" i="37"/>
  <c r="H89" i="37"/>
  <c r="H90" i="37"/>
  <c r="H91" i="37"/>
  <c r="H92" i="37"/>
  <c r="H93" i="37"/>
  <c r="H45" i="37"/>
  <c r="H46" i="37"/>
  <c r="H47" i="37"/>
  <c r="H48" i="37"/>
  <c r="H49" i="37"/>
  <c r="H50" i="37"/>
  <c r="H52" i="37"/>
  <c r="H53" i="37"/>
  <c r="H54" i="37"/>
  <c r="H55" i="37"/>
  <c r="H56" i="37"/>
  <c r="H57" i="37"/>
  <c r="H58" i="37"/>
  <c r="H59" i="37"/>
  <c r="H60" i="37"/>
  <c r="H61" i="37"/>
  <c r="H62" i="37"/>
  <c r="H63" i="37"/>
  <c r="H64" i="37"/>
  <c r="H65" i="37"/>
  <c r="H66" i="37"/>
  <c r="H67" i="37"/>
  <c r="H68" i="37"/>
  <c r="I21" i="37"/>
  <c r="I22" i="37"/>
  <c r="I23" i="37"/>
  <c r="I24" i="37"/>
  <c r="I25" i="37"/>
  <c r="I26" i="37"/>
  <c r="I27" i="37"/>
  <c r="I28" i="37"/>
  <c r="I30" i="37"/>
  <c r="I32" i="37"/>
  <c r="I33" i="37"/>
  <c r="I34" i="37"/>
  <c r="I35" i="37"/>
  <c r="Q95" i="37"/>
  <c r="I39" i="37"/>
  <c r="I40" i="37"/>
  <c r="M40" i="37" s="1"/>
  <c r="I41" i="37"/>
  <c r="M41" i="37" s="1"/>
  <c r="I43" i="37"/>
  <c r="I44" i="37"/>
  <c r="I45" i="37"/>
  <c r="I46" i="37"/>
  <c r="I47" i="37"/>
  <c r="I48" i="37"/>
  <c r="I49" i="37"/>
  <c r="I50" i="37"/>
  <c r="I51" i="37"/>
  <c r="I52" i="37"/>
  <c r="I53" i="37"/>
  <c r="I54" i="37"/>
  <c r="I55" i="37"/>
  <c r="I56" i="37"/>
  <c r="I57" i="37"/>
  <c r="I58" i="37"/>
  <c r="I59" i="37"/>
  <c r="I60" i="37"/>
  <c r="I63" i="37"/>
  <c r="I64" i="37"/>
  <c r="I66" i="37"/>
  <c r="I67" i="37"/>
  <c r="I68" i="37"/>
  <c r="I71" i="37"/>
  <c r="I72" i="37"/>
  <c r="I73" i="37"/>
  <c r="I76" i="37"/>
  <c r="I78" i="37"/>
  <c r="I79" i="37"/>
  <c r="I80" i="37"/>
  <c r="I82" i="37"/>
  <c r="I83" i="37"/>
  <c r="I84" i="37"/>
  <c r="I85" i="37"/>
  <c r="I86" i="37"/>
  <c r="I87" i="37"/>
  <c r="I88" i="37"/>
  <c r="I89" i="37"/>
  <c r="I90" i="37"/>
  <c r="I91" i="37"/>
  <c r="I92" i="37"/>
  <c r="I93" i="37"/>
  <c r="I94" i="37"/>
  <c r="H20" i="37"/>
  <c r="H21" i="37"/>
  <c r="H22" i="37"/>
  <c r="H23" i="37"/>
  <c r="H24" i="37"/>
  <c r="H25" i="37"/>
  <c r="H26" i="37"/>
  <c r="H27" i="37"/>
  <c r="H28" i="37"/>
  <c r="H30" i="37"/>
  <c r="H32" i="37"/>
  <c r="H33" i="37"/>
  <c r="H34" i="37"/>
  <c r="H35" i="37"/>
  <c r="H41" i="37"/>
  <c r="H43" i="37"/>
  <c r="L43" i="37" s="1"/>
  <c r="H44" i="37"/>
  <c r="H94" i="37"/>
  <c r="I15" i="37"/>
  <c r="I16" i="37"/>
  <c r="I17" i="37"/>
  <c r="I18" i="37"/>
  <c r="I19" i="37"/>
  <c r="I20" i="37"/>
  <c r="M20" i="37" s="1"/>
  <c r="H13" i="37"/>
  <c r="H14" i="37"/>
  <c r="H15" i="37"/>
  <c r="H16" i="37"/>
  <c r="H17" i="37"/>
  <c r="H18" i="37"/>
  <c r="H19" i="37"/>
  <c r="I13" i="37"/>
  <c r="H9" i="37"/>
  <c r="H10" i="37"/>
  <c r="H11" i="37"/>
  <c r="H12" i="37"/>
  <c r="Q20" i="37" l="1"/>
  <c r="U20" i="37" s="1"/>
  <c r="Y20" i="37" s="1"/>
  <c r="AC20" i="37" s="1"/>
  <c r="AG20" i="37" s="1"/>
  <c r="AK20" i="37" s="1"/>
  <c r="AO20" i="37" s="1"/>
  <c r="AS20" i="37" s="1"/>
  <c r="AW20" i="37" s="1"/>
  <c r="BA20" i="37" s="1"/>
  <c r="P8" i="37"/>
  <c r="T8" i="37" s="1"/>
  <c r="X8" i="37" s="1"/>
  <c r="AB8" i="37" s="1"/>
  <c r="AF8" i="37" s="1"/>
  <c r="AJ8" i="37" s="1"/>
  <c r="AN8" i="37" s="1"/>
  <c r="AR8" i="37" s="1"/>
  <c r="AV8" i="37" s="1"/>
  <c r="AZ8" i="37" s="1"/>
  <c r="H51" i="37"/>
  <c r="O95" i="37" l="1"/>
  <c r="N95" i="37"/>
  <c r="K95" i="37"/>
  <c r="H31" i="37" l="1"/>
  <c r="H29" i="37"/>
  <c r="H81" i="37"/>
  <c r="G95" i="37"/>
  <c r="J95" i="37"/>
  <c r="F95" i="37"/>
  <c r="L26" i="38"/>
  <c r="J24" i="38"/>
  <c r="H24" i="38"/>
  <c r="M13" i="37" l="1"/>
  <c r="Q13" i="37" l="1"/>
  <c r="U13" i="37" s="1"/>
  <c r="Y13" i="37" s="1"/>
  <c r="AC13" i="37" s="1"/>
  <c r="AG13" i="37" s="1"/>
  <c r="AK13" i="37" s="1"/>
  <c r="AO13" i="37" s="1"/>
  <c r="AS13" i="37" s="1"/>
  <c r="AW13" i="37" s="1"/>
  <c r="BA13" i="37" s="1"/>
  <c r="L83" i="37"/>
  <c r="P83" i="37" l="1"/>
  <c r="T83" i="37" s="1"/>
  <c r="X83" i="37" s="1"/>
  <c r="AB83" i="37" s="1"/>
  <c r="AF83" i="37" s="1"/>
  <c r="AJ83" i="37" s="1"/>
  <c r="AN83" i="37" s="1"/>
  <c r="AR83" i="37" s="1"/>
  <c r="AV83" i="37" s="1"/>
  <c r="AZ83" i="37" s="1"/>
  <c r="M57" i="37"/>
  <c r="Q57" i="37" l="1"/>
  <c r="U57" i="37" s="1"/>
  <c r="Y57" i="37" s="1"/>
  <c r="AC57" i="37" s="1"/>
  <c r="AG57" i="37" s="1"/>
  <c r="AK57" i="37" s="1"/>
  <c r="AO57" i="37" s="1"/>
  <c r="AS57" i="37" s="1"/>
  <c r="AW57" i="37" s="1"/>
  <c r="BA57" i="37" s="1"/>
  <c r="M55" i="37"/>
  <c r="L11" i="37"/>
  <c r="L18" i="37"/>
  <c r="M21" i="37"/>
  <c r="M22" i="37"/>
  <c r="L25" i="37"/>
  <c r="L26" i="37"/>
  <c r="L27" i="37"/>
  <c r="L30" i="37"/>
  <c r="L32" i="37"/>
  <c r="L33" i="37"/>
  <c r="M34" i="37"/>
  <c r="M44" i="37"/>
  <c r="L45" i="37"/>
  <c r="M48" i="37"/>
  <c r="M50" i="37"/>
  <c r="M53" i="37"/>
  <c r="M56" i="37"/>
  <c r="M58" i="37"/>
  <c r="M60" i="37"/>
  <c r="L62" i="37"/>
  <c r="L64" i="37"/>
  <c r="M66" i="37"/>
  <c r="L69" i="37"/>
  <c r="L71" i="37"/>
  <c r="L73" i="37"/>
  <c r="L75" i="37"/>
  <c r="L77" i="37"/>
  <c r="L79" i="37"/>
  <c r="L82" i="37"/>
  <c r="L85" i="37"/>
  <c r="M87" i="37"/>
  <c r="M89" i="37"/>
  <c r="L15" i="37"/>
  <c r="L23" i="37"/>
  <c r="L35" i="37"/>
  <c r="M85" i="37"/>
  <c r="M91" i="37"/>
  <c r="L92" i="37"/>
  <c r="L44" i="37"/>
  <c r="L50" i="37"/>
  <c r="L59" i="37"/>
  <c r="M88" i="37"/>
  <c r="L48" i="37"/>
  <c r="M64" i="37"/>
  <c r="M68" i="37"/>
  <c r="M78" i="37"/>
  <c r="L10" i="37"/>
  <c r="L12" i="37"/>
  <c r="L14" i="37"/>
  <c r="M17" i="37"/>
  <c r="L21" i="37"/>
  <c r="L22" i="37"/>
  <c r="M23" i="37"/>
  <c r="M26" i="37"/>
  <c r="M28" i="37"/>
  <c r="M30" i="37"/>
  <c r="M32" i="37"/>
  <c r="L34" i="37"/>
  <c r="M35" i="37"/>
  <c r="M39" i="37"/>
  <c r="Q39" i="37" s="1"/>
  <c r="M43" i="37"/>
  <c r="M47" i="37"/>
  <c r="M49" i="37"/>
  <c r="L53" i="37"/>
  <c r="L56" i="37"/>
  <c r="M59" i="37"/>
  <c r="L61" i="37"/>
  <c r="L63" i="37"/>
  <c r="L65" i="37"/>
  <c r="L68" i="37"/>
  <c r="L70" i="37"/>
  <c r="L72" i="37"/>
  <c r="L74" i="37"/>
  <c r="L76" i="37"/>
  <c r="L78" i="37"/>
  <c r="L81" i="37"/>
  <c r="L84" i="37"/>
  <c r="L86" i="37"/>
  <c r="L88" i="37"/>
  <c r="L93" i="37"/>
  <c r="L17" i="37"/>
  <c r="L28" i="37"/>
  <c r="L39" i="37"/>
  <c r="P39" i="37" s="1"/>
  <c r="L60" i="37"/>
  <c r="L89" i="37"/>
  <c r="M92" i="37"/>
  <c r="L80" i="37"/>
  <c r="L47" i="37"/>
  <c r="L58" i="37"/>
  <c r="L67" i="37"/>
  <c r="L91" i="37"/>
  <c r="L49" i="37"/>
  <c r="M86" i="37"/>
  <c r="L66" i="37"/>
  <c r="M72" i="37"/>
  <c r="M71" i="37"/>
  <c r="D95" i="37"/>
  <c r="Q72" i="37" l="1"/>
  <c r="U72" i="37" s="1"/>
  <c r="Y72" i="37" s="1"/>
  <c r="Q86" i="37"/>
  <c r="U86" i="37" s="1"/>
  <c r="Y86" i="37" s="1"/>
  <c r="AC86" i="37" s="1"/>
  <c r="AG86" i="37" s="1"/>
  <c r="AK86" i="37" s="1"/>
  <c r="AO86" i="37" s="1"/>
  <c r="AS86" i="37" s="1"/>
  <c r="AW86" i="37" s="1"/>
  <c r="BA86" i="37" s="1"/>
  <c r="P91" i="37"/>
  <c r="T91" i="37" s="1"/>
  <c r="X91" i="37" s="1"/>
  <c r="AB91" i="37" s="1"/>
  <c r="AF91" i="37" s="1"/>
  <c r="AJ91" i="37" s="1"/>
  <c r="AN91" i="37" s="1"/>
  <c r="AR91" i="37" s="1"/>
  <c r="AV91" i="37" s="1"/>
  <c r="AZ91" i="37" s="1"/>
  <c r="P58" i="37"/>
  <c r="T58" i="37" s="1"/>
  <c r="X58" i="37" s="1"/>
  <c r="AB58" i="37" s="1"/>
  <c r="AF58" i="37" s="1"/>
  <c r="AJ58" i="37" s="1"/>
  <c r="AN58" i="37" s="1"/>
  <c r="AR58" i="37" s="1"/>
  <c r="AV58" i="37" s="1"/>
  <c r="AZ58" i="37" s="1"/>
  <c r="P80" i="37"/>
  <c r="T80" i="37" s="1"/>
  <c r="X80" i="37" s="1"/>
  <c r="AB80" i="37" s="1"/>
  <c r="AF80" i="37" s="1"/>
  <c r="AJ80" i="37" s="1"/>
  <c r="AN80" i="37" s="1"/>
  <c r="AR80" i="37" s="1"/>
  <c r="AV80" i="37" s="1"/>
  <c r="AZ80" i="37" s="1"/>
  <c r="P89" i="37"/>
  <c r="T89" i="37" s="1"/>
  <c r="X89" i="37" s="1"/>
  <c r="AB89" i="37" s="1"/>
  <c r="AF89" i="37" s="1"/>
  <c r="AJ89" i="37" s="1"/>
  <c r="AN89" i="37" s="1"/>
  <c r="AR89" i="37" s="1"/>
  <c r="AV89" i="37" s="1"/>
  <c r="AZ89" i="37" s="1"/>
  <c r="T39" i="37"/>
  <c r="X39" i="37" s="1"/>
  <c r="AB39" i="37" s="1"/>
  <c r="AF39" i="37" s="1"/>
  <c r="AJ39" i="37" s="1"/>
  <c r="AN39" i="37" s="1"/>
  <c r="AR39" i="37" s="1"/>
  <c r="AV39" i="37" s="1"/>
  <c r="AZ39" i="37" s="1"/>
  <c r="P17" i="37"/>
  <c r="T17" i="37" s="1"/>
  <c r="X17" i="37" s="1"/>
  <c r="AB17" i="37" s="1"/>
  <c r="AF17" i="37" s="1"/>
  <c r="AJ17" i="37" s="1"/>
  <c r="AN17" i="37" s="1"/>
  <c r="AR17" i="37" s="1"/>
  <c r="AV17" i="37" s="1"/>
  <c r="AZ17" i="37" s="1"/>
  <c r="P88" i="37"/>
  <c r="T88" i="37" s="1"/>
  <c r="X88" i="37" s="1"/>
  <c r="AB88" i="37" s="1"/>
  <c r="AF88" i="37" s="1"/>
  <c r="AJ88" i="37" s="1"/>
  <c r="AN88" i="37" s="1"/>
  <c r="AR88" i="37" s="1"/>
  <c r="AV88" i="37" s="1"/>
  <c r="AZ88" i="37" s="1"/>
  <c r="P84" i="37"/>
  <c r="T84" i="37" s="1"/>
  <c r="X84" i="37" s="1"/>
  <c r="AB84" i="37" s="1"/>
  <c r="AF84" i="37" s="1"/>
  <c r="AJ84" i="37" s="1"/>
  <c r="AN84" i="37" s="1"/>
  <c r="AR84" i="37" s="1"/>
  <c r="AV84" i="37" s="1"/>
  <c r="AZ84" i="37" s="1"/>
  <c r="P78" i="37"/>
  <c r="T78" i="37" s="1"/>
  <c r="X78" i="37" s="1"/>
  <c r="AB78" i="37" s="1"/>
  <c r="AF78" i="37" s="1"/>
  <c r="AJ78" i="37" s="1"/>
  <c r="AN78" i="37" s="1"/>
  <c r="AR78" i="37" s="1"/>
  <c r="AV78" i="37" s="1"/>
  <c r="AZ78" i="37" s="1"/>
  <c r="P74" i="37"/>
  <c r="T74" i="37" s="1"/>
  <c r="X74" i="37" s="1"/>
  <c r="AB74" i="37" s="1"/>
  <c r="AF74" i="37" s="1"/>
  <c r="AJ74" i="37" s="1"/>
  <c r="AN74" i="37" s="1"/>
  <c r="AR74" i="37" s="1"/>
  <c r="AV74" i="37" s="1"/>
  <c r="AZ74" i="37" s="1"/>
  <c r="P70" i="37"/>
  <c r="T70" i="37" s="1"/>
  <c r="X70" i="37" s="1"/>
  <c r="AB70" i="37" s="1"/>
  <c r="AF70" i="37" s="1"/>
  <c r="AJ70" i="37" s="1"/>
  <c r="AN70" i="37" s="1"/>
  <c r="AR70" i="37" s="1"/>
  <c r="AV70" i="37" s="1"/>
  <c r="AZ70" i="37" s="1"/>
  <c r="P65" i="37"/>
  <c r="T65" i="37" s="1"/>
  <c r="X65" i="37" s="1"/>
  <c r="AB65" i="37" s="1"/>
  <c r="AF65" i="37" s="1"/>
  <c r="AJ65" i="37" s="1"/>
  <c r="AN65" i="37" s="1"/>
  <c r="AR65" i="37" s="1"/>
  <c r="AV65" i="37" s="1"/>
  <c r="AZ65" i="37" s="1"/>
  <c r="P61" i="37"/>
  <c r="T61" i="37" s="1"/>
  <c r="X61" i="37" s="1"/>
  <c r="AB61" i="37" s="1"/>
  <c r="AF61" i="37" s="1"/>
  <c r="AJ61" i="37" s="1"/>
  <c r="AN61" i="37" s="1"/>
  <c r="AR61" i="37" s="1"/>
  <c r="AV61" i="37" s="1"/>
  <c r="AZ61" i="37" s="1"/>
  <c r="P56" i="37"/>
  <c r="T56" i="37" s="1"/>
  <c r="AJ56" i="37" s="1"/>
  <c r="AN56" i="37" s="1"/>
  <c r="AR56" i="37" s="1"/>
  <c r="AV56" i="37" s="1"/>
  <c r="AZ56" i="37" s="1"/>
  <c r="Q49" i="37"/>
  <c r="U49" i="37" s="1"/>
  <c r="Y49" i="37" s="1"/>
  <c r="AC49" i="37" s="1"/>
  <c r="AG49" i="37" s="1"/>
  <c r="AK49" i="37" s="1"/>
  <c r="AO49" i="37" s="1"/>
  <c r="AS49" i="37" s="1"/>
  <c r="AW49" i="37" s="1"/>
  <c r="BA49" i="37" s="1"/>
  <c r="Q43" i="37"/>
  <c r="U43" i="37" s="1"/>
  <c r="Y43" i="37" s="1"/>
  <c r="AC43" i="37" s="1"/>
  <c r="AG43" i="37" s="1"/>
  <c r="AK43" i="37" s="1"/>
  <c r="AO43" i="37" s="1"/>
  <c r="AS43" i="37" s="1"/>
  <c r="AW43" i="37" s="1"/>
  <c r="BA43" i="37" s="1"/>
  <c r="Q40" i="37"/>
  <c r="U40" i="37" s="1"/>
  <c r="Y40" i="37" s="1"/>
  <c r="AC40" i="37" s="1"/>
  <c r="AG40" i="37" s="1"/>
  <c r="AK40" i="37" s="1"/>
  <c r="AO40" i="37" s="1"/>
  <c r="Q35" i="37"/>
  <c r="U35" i="37" s="1"/>
  <c r="Y35" i="37" s="1"/>
  <c r="AC35" i="37" s="1"/>
  <c r="AG35" i="37" s="1"/>
  <c r="AK35" i="37" s="1"/>
  <c r="AO35" i="37" s="1"/>
  <c r="AS35" i="37" s="1"/>
  <c r="AW35" i="37" s="1"/>
  <c r="BA35" i="37" s="1"/>
  <c r="Q32" i="37"/>
  <c r="U32" i="37" s="1"/>
  <c r="Y32" i="37" s="1"/>
  <c r="AC32" i="37" s="1"/>
  <c r="AG32" i="37" s="1"/>
  <c r="AK32" i="37" s="1"/>
  <c r="AO32" i="37" s="1"/>
  <c r="AS32" i="37" s="1"/>
  <c r="AW32" i="37" s="1"/>
  <c r="BA32" i="37" s="1"/>
  <c r="Q28" i="37"/>
  <c r="U28" i="37" s="1"/>
  <c r="Y28" i="37" s="1"/>
  <c r="AC28" i="37" s="1"/>
  <c r="AG28" i="37" s="1"/>
  <c r="AK28" i="37" s="1"/>
  <c r="AO28" i="37" s="1"/>
  <c r="AS28" i="37" s="1"/>
  <c r="AW28" i="37" s="1"/>
  <c r="BA28" i="37" s="1"/>
  <c r="Q23" i="37"/>
  <c r="U23" i="37" s="1"/>
  <c r="Y23" i="37" s="1"/>
  <c r="AC23" i="37" s="1"/>
  <c r="AG23" i="37" s="1"/>
  <c r="AK23" i="37" s="1"/>
  <c r="AO23" i="37" s="1"/>
  <c r="AS23" i="37" s="1"/>
  <c r="AW23" i="37" s="1"/>
  <c r="BA23" i="37" s="1"/>
  <c r="P21" i="37"/>
  <c r="T21" i="37" s="1"/>
  <c r="X21" i="37" s="1"/>
  <c r="AB21" i="37" s="1"/>
  <c r="AF21" i="37" s="1"/>
  <c r="AJ21" i="37" s="1"/>
  <c r="AN21" i="37" s="1"/>
  <c r="AR21" i="37" s="1"/>
  <c r="AV21" i="37" s="1"/>
  <c r="AZ21" i="37" s="1"/>
  <c r="Q17" i="37"/>
  <c r="U17" i="37" s="1"/>
  <c r="Y17" i="37" s="1"/>
  <c r="AC17" i="37" s="1"/>
  <c r="AG17" i="37" s="1"/>
  <c r="AK17" i="37" s="1"/>
  <c r="AO17" i="37" s="1"/>
  <c r="AS17" i="37" s="1"/>
  <c r="AW17" i="37" s="1"/>
  <c r="BA17" i="37" s="1"/>
  <c r="P12" i="37"/>
  <c r="T12" i="37" s="1"/>
  <c r="X12" i="37" s="1"/>
  <c r="AB12" i="37" s="1"/>
  <c r="AF12" i="37" s="1"/>
  <c r="AJ12" i="37" s="1"/>
  <c r="AN12" i="37" s="1"/>
  <c r="AR12" i="37" s="1"/>
  <c r="AV12" i="37" s="1"/>
  <c r="AZ12" i="37" s="1"/>
  <c r="Q78" i="37"/>
  <c r="U78" i="37" s="1"/>
  <c r="Y78" i="37" s="1"/>
  <c r="AC78" i="37" s="1"/>
  <c r="AG78" i="37" s="1"/>
  <c r="AK78" i="37" s="1"/>
  <c r="AO78" i="37" s="1"/>
  <c r="AS78" i="37" s="1"/>
  <c r="AW78" i="37" s="1"/>
  <c r="BA78" i="37" s="1"/>
  <c r="Q64" i="37"/>
  <c r="U64" i="37" s="1"/>
  <c r="Y64" i="37" s="1"/>
  <c r="AC64" i="37" s="1"/>
  <c r="Q88" i="37"/>
  <c r="U88" i="37" s="1"/>
  <c r="Y88" i="37" s="1"/>
  <c r="AC88" i="37" s="1"/>
  <c r="AG88" i="37" s="1"/>
  <c r="AK88" i="37" s="1"/>
  <c r="AO88" i="37" s="1"/>
  <c r="AS88" i="37" s="1"/>
  <c r="AW88" i="37" s="1"/>
  <c r="BA88" i="37" s="1"/>
  <c r="P50" i="37"/>
  <c r="T50" i="37" s="1"/>
  <c r="X50" i="37" s="1"/>
  <c r="AB50" i="37" s="1"/>
  <c r="AF50" i="37" s="1"/>
  <c r="AJ50" i="37" s="1"/>
  <c r="AN50" i="37" s="1"/>
  <c r="AR50" i="37" s="1"/>
  <c r="AV50" i="37" s="1"/>
  <c r="AZ50" i="37" s="1"/>
  <c r="P92" i="37"/>
  <c r="T92" i="37" s="1"/>
  <c r="X92" i="37" s="1"/>
  <c r="AB92" i="37" s="1"/>
  <c r="AF92" i="37" s="1"/>
  <c r="AJ92" i="37" s="1"/>
  <c r="AN92" i="37" s="1"/>
  <c r="AR92" i="37" s="1"/>
  <c r="AV92" i="37" s="1"/>
  <c r="AZ92" i="37" s="1"/>
  <c r="Q85" i="37"/>
  <c r="U85" i="37" s="1"/>
  <c r="Y85" i="37" s="1"/>
  <c r="AC85" i="37" s="1"/>
  <c r="AG85" i="37" s="1"/>
  <c r="AK85" i="37" s="1"/>
  <c r="AO85" i="37" s="1"/>
  <c r="AS85" i="37" s="1"/>
  <c r="AW85" i="37" s="1"/>
  <c r="BA85" i="37" s="1"/>
  <c r="P23" i="37"/>
  <c r="T23" i="37" s="1"/>
  <c r="X23" i="37" s="1"/>
  <c r="AB23" i="37" s="1"/>
  <c r="AF23" i="37" s="1"/>
  <c r="AJ23" i="37" s="1"/>
  <c r="AN23" i="37" s="1"/>
  <c r="AR23" i="37" s="1"/>
  <c r="AV23" i="37" s="1"/>
  <c r="AZ23" i="37" s="1"/>
  <c r="Q89" i="37"/>
  <c r="U89" i="37" s="1"/>
  <c r="Y89" i="37" s="1"/>
  <c r="AC89" i="37" s="1"/>
  <c r="AG89" i="37" s="1"/>
  <c r="AK89" i="37" s="1"/>
  <c r="AO89" i="37" s="1"/>
  <c r="AS89" i="37" s="1"/>
  <c r="AW89" i="37" s="1"/>
  <c r="BA89" i="37" s="1"/>
  <c r="P85" i="37"/>
  <c r="T85" i="37" s="1"/>
  <c r="X85" i="37" s="1"/>
  <c r="AB85" i="37" s="1"/>
  <c r="AF85" i="37" s="1"/>
  <c r="AJ85" i="37" s="1"/>
  <c r="AN85" i="37" s="1"/>
  <c r="AR85" i="37" s="1"/>
  <c r="AV85" i="37" s="1"/>
  <c r="AZ85" i="37" s="1"/>
  <c r="P79" i="37"/>
  <c r="T79" i="37" s="1"/>
  <c r="X79" i="37" s="1"/>
  <c r="AB79" i="37" s="1"/>
  <c r="AF79" i="37" s="1"/>
  <c r="AJ79" i="37" s="1"/>
  <c r="AN79" i="37" s="1"/>
  <c r="AR79" i="37" s="1"/>
  <c r="AV79" i="37" s="1"/>
  <c r="AZ79" i="37" s="1"/>
  <c r="P75" i="37"/>
  <c r="T75" i="37" s="1"/>
  <c r="X75" i="37" s="1"/>
  <c r="AB75" i="37" s="1"/>
  <c r="AF75" i="37" s="1"/>
  <c r="AJ75" i="37" s="1"/>
  <c r="AN75" i="37" s="1"/>
  <c r="AR75" i="37" s="1"/>
  <c r="AV75" i="37" s="1"/>
  <c r="AZ75" i="37" s="1"/>
  <c r="P71" i="37"/>
  <c r="T71" i="37" s="1"/>
  <c r="X71" i="37" s="1"/>
  <c r="AB71" i="37" s="1"/>
  <c r="AF71" i="37" s="1"/>
  <c r="AJ71" i="37" s="1"/>
  <c r="AN71" i="37" s="1"/>
  <c r="AR71" i="37" s="1"/>
  <c r="AV71" i="37" s="1"/>
  <c r="AZ71" i="37" s="1"/>
  <c r="Q66" i="37"/>
  <c r="U66" i="37" s="1"/>
  <c r="Y66" i="37" s="1"/>
  <c r="AC66" i="37" s="1"/>
  <c r="AG66" i="37" s="1"/>
  <c r="AK66" i="37" s="1"/>
  <c r="AO66" i="37" s="1"/>
  <c r="AS66" i="37" s="1"/>
  <c r="AW66" i="37" s="1"/>
  <c r="BA66" i="37" s="1"/>
  <c r="P62" i="37"/>
  <c r="T62" i="37" s="1"/>
  <c r="X62" i="37" s="1"/>
  <c r="AB62" i="37" s="1"/>
  <c r="AF62" i="37" s="1"/>
  <c r="AJ62" i="37" s="1"/>
  <c r="AN62" i="37" s="1"/>
  <c r="AR62" i="37" s="1"/>
  <c r="AV62" i="37" s="1"/>
  <c r="AZ62" i="37" s="1"/>
  <c r="Q58" i="37"/>
  <c r="U58" i="37" s="1"/>
  <c r="Y58" i="37" s="1"/>
  <c r="AC58" i="37" s="1"/>
  <c r="AG58" i="37" s="1"/>
  <c r="AK58" i="37" s="1"/>
  <c r="AO58" i="37" s="1"/>
  <c r="AS58" i="37" s="1"/>
  <c r="AW58" i="37" s="1"/>
  <c r="BA58" i="37" s="1"/>
  <c r="Q53" i="37"/>
  <c r="U53" i="37" s="1"/>
  <c r="AC53" i="37" s="1"/>
  <c r="AG53" i="37" s="1"/>
  <c r="AK53" i="37" s="1"/>
  <c r="AO53" i="37" s="1"/>
  <c r="AS53" i="37" s="1"/>
  <c r="AW53" i="37" s="1"/>
  <c r="BA53" i="37" s="1"/>
  <c r="Q48" i="37"/>
  <c r="U48" i="37" s="1"/>
  <c r="Y48" i="37" s="1"/>
  <c r="AC48" i="37" s="1"/>
  <c r="AG48" i="37" s="1"/>
  <c r="AK48" i="37" s="1"/>
  <c r="AO48" i="37" s="1"/>
  <c r="AS48" i="37" s="1"/>
  <c r="AW48" i="37" s="1"/>
  <c r="BA48" i="37" s="1"/>
  <c r="Q44" i="37"/>
  <c r="U44" i="37" s="1"/>
  <c r="Y44" i="37" s="1"/>
  <c r="AC44" i="37" s="1"/>
  <c r="AG44" i="37" s="1"/>
  <c r="AK44" i="37" s="1"/>
  <c r="AO44" i="37" s="1"/>
  <c r="AS44" i="37" s="1"/>
  <c r="AW44" i="37" s="1"/>
  <c r="BA44" i="37" s="1"/>
  <c r="P40" i="37"/>
  <c r="T40" i="37" s="1"/>
  <c r="X40" i="37" s="1"/>
  <c r="AB40" i="37" s="1"/>
  <c r="AF40" i="37" s="1"/>
  <c r="AJ40" i="37" s="1"/>
  <c r="AN40" i="37" s="1"/>
  <c r="AR40" i="37" s="1"/>
  <c r="AV40" i="37" s="1"/>
  <c r="AZ40" i="37" s="1"/>
  <c r="P33" i="37"/>
  <c r="T33" i="37" s="1"/>
  <c r="X33" i="37" s="1"/>
  <c r="AB33" i="37" s="1"/>
  <c r="AF33" i="37" s="1"/>
  <c r="AJ33" i="37" s="1"/>
  <c r="AN33" i="37" s="1"/>
  <c r="AR33" i="37" s="1"/>
  <c r="AV33" i="37" s="1"/>
  <c r="AZ33" i="37" s="1"/>
  <c r="P30" i="37"/>
  <c r="T30" i="37" s="1"/>
  <c r="X30" i="37" s="1"/>
  <c r="AB30" i="37" s="1"/>
  <c r="AF30" i="37" s="1"/>
  <c r="AJ30" i="37" s="1"/>
  <c r="AN30" i="37" s="1"/>
  <c r="AR30" i="37" s="1"/>
  <c r="AV30" i="37" s="1"/>
  <c r="AZ30" i="37" s="1"/>
  <c r="P26" i="37"/>
  <c r="T26" i="37" s="1"/>
  <c r="X26" i="37" s="1"/>
  <c r="AB26" i="37" s="1"/>
  <c r="AF26" i="37" s="1"/>
  <c r="AJ26" i="37" s="1"/>
  <c r="AN26" i="37" s="1"/>
  <c r="AR26" i="37" s="1"/>
  <c r="AV26" i="37" s="1"/>
  <c r="AZ26" i="37" s="1"/>
  <c r="Q22" i="37"/>
  <c r="U22" i="37" s="1"/>
  <c r="Y22" i="37" s="1"/>
  <c r="AC22" i="37" s="1"/>
  <c r="AG22" i="37" s="1"/>
  <c r="AK22" i="37" s="1"/>
  <c r="AO22" i="37" s="1"/>
  <c r="AS22" i="37" s="1"/>
  <c r="AW22" i="37" s="1"/>
  <c r="BA22" i="37" s="1"/>
  <c r="P11" i="37"/>
  <c r="T11" i="37" s="1"/>
  <c r="X11" i="37" s="1"/>
  <c r="AB11" i="37" s="1"/>
  <c r="AF11" i="37" s="1"/>
  <c r="AJ11" i="37" s="1"/>
  <c r="AN11" i="37" s="1"/>
  <c r="AR11" i="37" s="1"/>
  <c r="AV11" i="37" s="1"/>
  <c r="AZ11" i="37" s="1"/>
  <c r="Q71" i="37"/>
  <c r="U71" i="37" s="1"/>
  <c r="AO71" i="37" s="1"/>
  <c r="AS71" i="37" s="1"/>
  <c r="AW71" i="37" s="1"/>
  <c r="BA71" i="37" s="1"/>
  <c r="P66" i="37"/>
  <c r="T66" i="37" s="1"/>
  <c r="X66" i="37" s="1"/>
  <c r="AB66" i="37" s="1"/>
  <c r="AF66" i="37" s="1"/>
  <c r="AJ66" i="37" s="1"/>
  <c r="AN66" i="37" s="1"/>
  <c r="AR66" i="37" s="1"/>
  <c r="AV66" i="37" s="1"/>
  <c r="AZ66" i="37" s="1"/>
  <c r="P49" i="37"/>
  <c r="T49" i="37" s="1"/>
  <c r="X49" i="37" s="1"/>
  <c r="AB49" i="37" s="1"/>
  <c r="AF49" i="37" s="1"/>
  <c r="AJ49" i="37" s="1"/>
  <c r="AN49" i="37" s="1"/>
  <c r="AR49" i="37" s="1"/>
  <c r="AV49" i="37" s="1"/>
  <c r="AZ49" i="37" s="1"/>
  <c r="P67" i="37"/>
  <c r="T67" i="37" s="1"/>
  <c r="X67" i="37" s="1"/>
  <c r="AB67" i="37" s="1"/>
  <c r="AF67" i="37" s="1"/>
  <c r="AJ67" i="37" s="1"/>
  <c r="AN67" i="37" s="1"/>
  <c r="AR67" i="37" s="1"/>
  <c r="AV67" i="37" s="1"/>
  <c r="AZ67" i="37" s="1"/>
  <c r="P47" i="37"/>
  <c r="T47" i="37" s="1"/>
  <c r="X47" i="37" s="1"/>
  <c r="AB47" i="37" s="1"/>
  <c r="AF47" i="37" s="1"/>
  <c r="AJ47" i="37" s="1"/>
  <c r="AN47" i="37" s="1"/>
  <c r="AR47" i="37" s="1"/>
  <c r="AV47" i="37" s="1"/>
  <c r="AZ47" i="37" s="1"/>
  <c r="Q92" i="37"/>
  <c r="U92" i="37" s="1"/>
  <c r="Y92" i="37" s="1"/>
  <c r="AC92" i="37" s="1"/>
  <c r="AG92" i="37" s="1"/>
  <c r="AK92" i="37" s="1"/>
  <c r="AO92" i="37" s="1"/>
  <c r="AS92" i="37" s="1"/>
  <c r="AW92" i="37" s="1"/>
  <c r="BA92" i="37" s="1"/>
  <c r="P60" i="37"/>
  <c r="T60" i="37" s="1"/>
  <c r="X60" i="37" s="1"/>
  <c r="AB60" i="37" s="1"/>
  <c r="AF60" i="37" s="1"/>
  <c r="AJ60" i="37" s="1"/>
  <c r="AN60" i="37" s="1"/>
  <c r="AR60" i="37" s="1"/>
  <c r="AV60" i="37" s="1"/>
  <c r="AZ60" i="37" s="1"/>
  <c r="P28" i="37"/>
  <c r="T28" i="37" s="1"/>
  <c r="X28" i="37" s="1"/>
  <c r="AB28" i="37" s="1"/>
  <c r="AF28" i="37" s="1"/>
  <c r="AJ28" i="37" s="1"/>
  <c r="AN28" i="37" s="1"/>
  <c r="AR28" i="37" s="1"/>
  <c r="AV28" i="37" s="1"/>
  <c r="AZ28" i="37" s="1"/>
  <c r="P93" i="37"/>
  <c r="T93" i="37" s="1"/>
  <c r="X93" i="37" s="1"/>
  <c r="AB93" i="37" s="1"/>
  <c r="AF93" i="37" s="1"/>
  <c r="AJ93" i="37" s="1"/>
  <c r="AN93" i="37" s="1"/>
  <c r="AR93" i="37" s="1"/>
  <c r="AV93" i="37" s="1"/>
  <c r="AZ93" i="37" s="1"/>
  <c r="P86" i="37"/>
  <c r="T86" i="37" s="1"/>
  <c r="X86" i="37" s="1"/>
  <c r="AB86" i="37" s="1"/>
  <c r="AF86" i="37" s="1"/>
  <c r="AJ86" i="37" s="1"/>
  <c r="AN86" i="37" s="1"/>
  <c r="AR86" i="37" s="1"/>
  <c r="AV86" i="37" s="1"/>
  <c r="AZ86" i="37" s="1"/>
  <c r="P81" i="37"/>
  <c r="T81" i="37" s="1"/>
  <c r="X81" i="37" s="1"/>
  <c r="AB81" i="37" s="1"/>
  <c r="AF81" i="37" s="1"/>
  <c r="AJ81" i="37" s="1"/>
  <c r="AN81" i="37" s="1"/>
  <c r="AR81" i="37" s="1"/>
  <c r="AV81" i="37" s="1"/>
  <c r="AZ81" i="37" s="1"/>
  <c r="P76" i="37"/>
  <c r="T76" i="37" s="1"/>
  <c r="X76" i="37" s="1"/>
  <c r="AB76" i="37" s="1"/>
  <c r="AF76" i="37" s="1"/>
  <c r="AJ76" i="37" s="1"/>
  <c r="AN76" i="37" s="1"/>
  <c r="AR76" i="37" s="1"/>
  <c r="AV76" i="37" s="1"/>
  <c r="AZ76" i="37" s="1"/>
  <c r="P72" i="37"/>
  <c r="T72" i="37" s="1"/>
  <c r="X72" i="37" s="1"/>
  <c r="AB72" i="37" s="1"/>
  <c r="AF72" i="37" s="1"/>
  <c r="AJ72" i="37" s="1"/>
  <c r="AN72" i="37" s="1"/>
  <c r="AR72" i="37" s="1"/>
  <c r="AV72" i="37" s="1"/>
  <c r="AZ72" i="37" s="1"/>
  <c r="P68" i="37"/>
  <c r="T68" i="37" s="1"/>
  <c r="X68" i="37" s="1"/>
  <c r="AB68" i="37" s="1"/>
  <c r="AF68" i="37" s="1"/>
  <c r="AJ68" i="37" s="1"/>
  <c r="AN68" i="37" s="1"/>
  <c r="AR68" i="37" s="1"/>
  <c r="AV68" i="37" s="1"/>
  <c r="AZ68" i="37" s="1"/>
  <c r="P63" i="37"/>
  <c r="T63" i="37" s="1"/>
  <c r="X63" i="37" s="1"/>
  <c r="AB63" i="37" s="1"/>
  <c r="AF63" i="37" s="1"/>
  <c r="AJ63" i="37" s="1"/>
  <c r="AN63" i="37" s="1"/>
  <c r="AR63" i="37" s="1"/>
  <c r="AV63" i="37" s="1"/>
  <c r="AZ63" i="37" s="1"/>
  <c r="Q59" i="37"/>
  <c r="U59" i="37" s="1"/>
  <c r="Y59" i="37" s="1"/>
  <c r="AC59" i="37" s="1"/>
  <c r="AG59" i="37" s="1"/>
  <c r="AK59" i="37" s="1"/>
  <c r="AO59" i="37" s="1"/>
  <c r="AS59" i="37" s="1"/>
  <c r="AW59" i="37" s="1"/>
  <c r="BA59" i="37" s="1"/>
  <c r="P53" i="37"/>
  <c r="T53" i="37" s="1"/>
  <c r="AJ53" i="37" s="1"/>
  <c r="AN53" i="37" s="1"/>
  <c r="AR53" i="37" s="1"/>
  <c r="AV53" i="37" s="1"/>
  <c r="AZ53" i="37" s="1"/>
  <c r="Q47" i="37"/>
  <c r="U47" i="37" s="1"/>
  <c r="Y47" i="37" s="1"/>
  <c r="AC47" i="37" s="1"/>
  <c r="AG47" i="37" s="1"/>
  <c r="AK47" i="37" s="1"/>
  <c r="AO47" i="37" s="1"/>
  <c r="AS47" i="37" s="1"/>
  <c r="AW47" i="37" s="1"/>
  <c r="BA47" i="37" s="1"/>
  <c r="Q41" i="37"/>
  <c r="U41" i="37" s="1"/>
  <c r="Y41" i="37" s="1"/>
  <c r="AC41" i="37" s="1"/>
  <c r="AG41" i="37" s="1"/>
  <c r="AK41" i="37" s="1"/>
  <c r="AO41" i="37" s="1"/>
  <c r="AS41" i="37" s="1"/>
  <c r="AW41" i="37" s="1"/>
  <c r="BA41" i="37" s="1"/>
  <c r="U39" i="37"/>
  <c r="Y39" i="37" s="1"/>
  <c r="AC39" i="37" s="1"/>
  <c r="AG39" i="37" s="1"/>
  <c r="AK39" i="37" s="1"/>
  <c r="AO39" i="37" s="1"/>
  <c r="AS39" i="37" s="1"/>
  <c r="AW39" i="37" s="1"/>
  <c r="BA39" i="37" s="1"/>
  <c r="P34" i="37"/>
  <c r="T34" i="37" s="1"/>
  <c r="X34" i="37" s="1"/>
  <c r="AB34" i="37" s="1"/>
  <c r="AF34" i="37" s="1"/>
  <c r="AJ34" i="37" s="1"/>
  <c r="AN34" i="37" s="1"/>
  <c r="AR34" i="37" s="1"/>
  <c r="AV34" i="37" s="1"/>
  <c r="AZ34" i="37" s="1"/>
  <c r="Q30" i="37"/>
  <c r="U30" i="37" s="1"/>
  <c r="Y30" i="37" s="1"/>
  <c r="AC30" i="37" s="1"/>
  <c r="AG30" i="37" s="1"/>
  <c r="AK30" i="37" s="1"/>
  <c r="AO30" i="37" s="1"/>
  <c r="AS30" i="37" s="1"/>
  <c r="AW30" i="37" s="1"/>
  <c r="BA30" i="37" s="1"/>
  <c r="Q26" i="37"/>
  <c r="U26" i="37" s="1"/>
  <c r="AG26" i="37" s="1"/>
  <c r="AK26" i="37" s="1"/>
  <c r="AO26" i="37" s="1"/>
  <c r="AS26" i="37" s="1"/>
  <c r="AW26" i="37" s="1"/>
  <c r="BA26" i="37" s="1"/>
  <c r="P22" i="37"/>
  <c r="T22" i="37" s="1"/>
  <c r="X22" i="37" s="1"/>
  <c r="AB22" i="37" s="1"/>
  <c r="AF22" i="37" s="1"/>
  <c r="AJ22" i="37" s="1"/>
  <c r="AN22" i="37" s="1"/>
  <c r="AR22" i="37" s="1"/>
  <c r="AV22" i="37" s="1"/>
  <c r="AZ22" i="37" s="1"/>
  <c r="P14" i="37"/>
  <c r="T14" i="37" s="1"/>
  <c r="X14" i="37" s="1"/>
  <c r="AB14" i="37" s="1"/>
  <c r="AF14" i="37" s="1"/>
  <c r="AJ14" i="37" s="1"/>
  <c r="AN14" i="37" s="1"/>
  <c r="AR14" i="37" s="1"/>
  <c r="AV14" i="37" s="1"/>
  <c r="AZ14" i="37" s="1"/>
  <c r="P10" i="37"/>
  <c r="T10" i="37" s="1"/>
  <c r="X10" i="37" s="1"/>
  <c r="AB10" i="37" s="1"/>
  <c r="AF10" i="37" s="1"/>
  <c r="AJ10" i="37" s="1"/>
  <c r="AN10" i="37" s="1"/>
  <c r="AR10" i="37" s="1"/>
  <c r="AV10" i="37" s="1"/>
  <c r="AZ10" i="37" s="1"/>
  <c r="Q68" i="37"/>
  <c r="U68" i="37" s="1"/>
  <c r="Y68" i="37" s="1"/>
  <c r="AC68" i="37" s="1"/>
  <c r="AG68" i="37" s="1"/>
  <c r="AK68" i="37" s="1"/>
  <c r="AO68" i="37" s="1"/>
  <c r="AS68" i="37" s="1"/>
  <c r="AW68" i="37" s="1"/>
  <c r="BA68" i="37" s="1"/>
  <c r="P48" i="37"/>
  <c r="T48" i="37" s="1"/>
  <c r="X48" i="37" s="1"/>
  <c r="AB48" i="37" s="1"/>
  <c r="AF48" i="37" s="1"/>
  <c r="AJ48" i="37" s="1"/>
  <c r="AN48" i="37" s="1"/>
  <c r="AR48" i="37" s="1"/>
  <c r="AV48" i="37" s="1"/>
  <c r="AZ48" i="37" s="1"/>
  <c r="P59" i="37"/>
  <c r="T59" i="37" s="1"/>
  <c r="X59" i="37" s="1"/>
  <c r="AB59" i="37" s="1"/>
  <c r="AF59" i="37" s="1"/>
  <c r="AJ59" i="37" s="1"/>
  <c r="AN59" i="37" s="1"/>
  <c r="AR59" i="37" s="1"/>
  <c r="AV59" i="37" s="1"/>
  <c r="AZ59" i="37" s="1"/>
  <c r="P44" i="37"/>
  <c r="T44" i="37" s="1"/>
  <c r="X44" i="37" s="1"/>
  <c r="AB44" i="37" s="1"/>
  <c r="AF44" i="37" s="1"/>
  <c r="AJ44" i="37" s="1"/>
  <c r="AN44" i="37" s="1"/>
  <c r="AR44" i="37" s="1"/>
  <c r="AV44" i="37" s="1"/>
  <c r="AZ44" i="37" s="1"/>
  <c r="Q91" i="37"/>
  <c r="U91" i="37" s="1"/>
  <c r="Y91" i="37" s="1"/>
  <c r="AC91" i="37" s="1"/>
  <c r="AG91" i="37" s="1"/>
  <c r="AK91" i="37" s="1"/>
  <c r="AO91" i="37" s="1"/>
  <c r="AS91" i="37" s="1"/>
  <c r="AW91" i="37" s="1"/>
  <c r="BA91" i="37" s="1"/>
  <c r="P35" i="37"/>
  <c r="T35" i="37" s="1"/>
  <c r="X35" i="37" s="1"/>
  <c r="AB35" i="37" s="1"/>
  <c r="AF35" i="37" s="1"/>
  <c r="AJ35" i="37" s="1"/>
  <c r="AN35" i="37" s="1"/>
  <c r="AR35" i="37" s="1"/>
  <c r="AV35" i="37" s="1"/>
  <c r="AZ35" i="37" s="1"/>
  <c r="P15" i="37"/>
  <c r="T15" i="37" s="1"/>
  <c r="X15" i="37" s="1"/>
  <c r="AB15" i="37" s="1"/>
  <c r="AF15" i="37" s="1"/>
  <c r="AJ15" i="37" s="1"/>
  <c r="AN15" i="37" s="1"/>
  <c r="AR15" i="37" s="1"/>
  <c r="AV15" i="37" s="1"/>
  <c r="AZ15" i="37" s="1"/>
  <c r="Q87" i="37"/>
  <c r="U87" i="37" s="1"/>
  <c r="Y87" i="37" s="1"/>
  <c r="AC87" i="37" s="1"/>
  <c r="AG87" i="37" s="1"/>
  <c r="AK87" i="37" s="1"/>
  <c r="AO87" i="37" s="1"/>
  <c r="AS87" i="37" s="1"/>
  <c r="AW87" i="37" s="1"/>
  <c r="BA87" i="37" s="1"/>
  <c r="P82" i="37"/>
  <c r="T82" i="37" s="1"/>
  <c r="X82" i="37" s="1"/>
  <c r="AB82" i="37" s="1"/>
  <c r="AF82" i="37" s="1"/>
  <c r="AJ82" i="37" s="1"/>
  <c r="AN82" i="37" s="1"/>
  <c r="AR82" i="37" s="1"/>
  <c r="AV82" i="37" s="1"/>
  <c r="AZ82" i="37" s="1"/>
  <c r="P77" i="37"/>
  <c r="T77" i="37" s="1"/>
  <c r="X77" i="37" s="1"/>
  <c r="AB77" i="37" s="1"/>
  <c r="AF77" i="37" s="1"/>
  <c r="AJ77" i="37" s="1"/>
  <c r="AN77" i="37" s="1"/>
  <c r="P73" i="37"/>
  <c r="T73" i="37" s="1"/>
  <c r="X73" i="37" s="1"/>
  <c r="AB73" i="37" s="1"/>
  <c r="AF73" i="37" s="1"/>
  <c r="AJ73" i="37" s="1"/>
  <c r="AN73" i="37" s="1"/>
  <c r="AR73" i="37" s="1"/>
  <c r="AV73" i="37" s="1"/>
  <c r="AZ73" i="37" s="1"/>
  <c r="P69" i="37"/>
  <c r="T69" i="37" s="1"/>
  <c r="X69" i="37" s="1"/>
  <c r="AB69" i="37" s="1"/>
  <c r="AF69" i="37" s="1"/>
  <c r="AJ69" i="37" s="1"/>
  <c r="AN69" i="37" s="1"/>
  <c r="AR69" i="37" s="1"/>
  <c r="AV69" i="37" s="1"/>
  <c r="AZ69" i="37" s="1"/>
  <c r="P64" i="37"/>
  <c r="T64" i="37" s="1"/>
  <c r="X64" i="37" s="1"/>
  <c r="AB64" i="37" s="1"/>
  <c r="AF64" i="37" s="1"/>
  <c r="AJ64" i="37" s="1"/>
  <c r="AN64" i="37" s="1"/>
  <c r="AR64" i="37" s="1"/>
  <c r="AV64" i="37" s="1"/>
  <c r="AZ64" i="37" s="1"/>
  <c r="Q60" i="37"/>
  <c r="U60" i="37" s="1"/>
  <c r="Y60" i="37" s="1"/>
  <c r="AC60" i="37" s="1"/>
  <c r="AG60" i="37" s="1"/>
  <c r="AK60" i="37" s="1"/>
  <c r="AO60" i="37" s="1"/>
  <c r="AS60" i="37" s="1"/>
  <c r="AW60" i="37" s="1"/>
  <c r="BA60" i="37" s="1"/>
  <c r="Q56" i="37"/>
  <c r="U56" i="37" s="1"/>
  <c r="Y56" i="37" s="1"/>
  <c r="AC56" i="37" s="1"/>
  <c r="AG56" i="37" s="1"/>
  <c r="AK56" i="37" s="1"/>
  <c r="AO56" i="37" s="1"/>
  <c r="AS56" i="37" s="1"/>
  <c r="AW56" i="37" s="1"/>
  <c r="BA56" i="37" s="1"/>
  <c r="Q50" i="37"/>
  <c r="U50" i="37" s="1"/>
  <c r="Y50" i="37" s="1"/>
  <c r="AC50" i="37" s="1"/>
  <c r="AG50" i="37" s="1"/>
  <c r="AK50" i="37" s="1"/>
  <c r="AO50" i="37" s="1"/>
  <c r="AS50" i="37" s="1"/>
  <c r="AW50" i="37" s="1"/>
  <c r="BA50" i="37" s="1"/>
  <c r="P45" i="37"/>
  <c r="T45" i="37" s="1"/>
  <c r="X45" i="37" s="1"/>
  <c r="AB45" i="37" s="1"/>
  <c r="AF45" i="37" s="1"/>
  <c r="AJ45" i="37" s="1"/>
  <c r="AN45" i="37" s="1"/>
  <c r="AR45" i="37" s="1"/>
  <c r="AV45" i="37" s="1"/>
  <c r="AZ45" i="37" s="1"/>
  <c r="P41" i="37"/>
  <c r="T41" i="37" s="1"/>
  <c r="X41" i="37" s="1"/>
  <c r="AB41" i="37" s="1"/>
  <c r="AF41" i="37" s="1"/>
  <c r="AJ41" i="37" s="1"/>
  <c r="AN41" i="37" s="1"/>
  <c r="AR41" i="37" s="1"/>
  <c r="AV41" i="37" s="1"/>
  <c r="AZ41" i="37" s="1"/>
  <c r="Q34" i="37"/>
  <c r="U34" i="37" s="1"/>
  <c r="Y34" i="37" s="1"/>
  <c r="AC34" i="37" s="1"/>
  <c r="AG34" i="37" s="1"/>
  <c r="AK34" i="37" s="1"/>
  <c r="AO34" i="37" s="1"/>
  <c r="AS34" i="37" s="1"/>
  <c r="AW34" i="37" s="1"/>
  <c r="BA34" i="37" s="1"/>
  <c r="P32" i="37"/>
  <c r="T32" i="37" s="1"/>
  <c r="X32" i="37" s="1"/>
  <c r="AB32" i="37" s="1"/>
  <c r="AF32" i="37" s="1"/>
  <c r="AJ32" i="37" s="1"/>
  <c r="AN32" i="37" s="1"/>
  <c r="AR32" i="37" s="1"/>
  <c r="AV32" i="37" s="1"/>
  <c r="AZ32" i="37" s="1"/>
  <c r="P27" i="37"/>
  <c r="T27" i="37" s="1"/>
  <c r="X27" i="37" s="1"/>
  <c r="AB27" i="37" s="1"/>
  <c r="AF27" i="37" s="1"/>
  <c r="AJ27" i="37" s="1"/>
  <c r="AN27" i="37" s="1"/>
  <c r="AR27" i="37" s="1"/>
  <c r="AV27" i="37" s="1"/>
  <c r="AZ27" i="37" s="1"/>
  <c r="P25" i="37"/>
  <c r="T25" i="37" s="1"/>
  <c r="X25" i="37" s="1"/>
  <c r="AB25" i="37" s="1"/>
  <c r="AF25" i="37" s="1"/>
  <c r="AJ25" i="37" s="1"/>
  <c r="AN25" i="37" s="1"/>
  <c r="AR25" i="37" s="1"/>
  <c r="AV25" i="37" s="1"/>
  <c r="AZ25" i="37" s="1"/>
  <c r="Q21" i="37"/>
  <c r="U21" i="37" s="1"/>
  <c r="Y21" i="37" s="1"/>
  <c r="AC21" i="37" s="1"/>
  <c r="AG21" i="37" s="1"/>
  <c r="AK21" i="37" s="1"/>
  <c r="AO21" i="37" s="1"/>
  <c r="AS21" i="37" s="1"/>
  <c r="AW21" i="37" s="1"/>
  <c r="BA21" i="37" s="1"/>
  <c r="P18" i="37"/>
  <c r="T18" i="37" s="1"/>
  <c r="X18" i="37" s="1"/>
  <c r="AB18" i="37" s="1"/>
  <c r="AF18" i="37" s="1"/>
  <c r="AJ18" i="37" s="1"/>
  <c r="AN18" i="37" s="1"/>
  <c r="AR18" i="37" s="1"/>
  <c r="AV18" i="37" s="1"/>
  <c r="AZ18" i="37" s="1"/>
  <c r="Q55" i="37"/>
  <c r="U55" i="37" s="1"/>
  <c r="Y55" i="37" s="1"/>
  <c r="AC55" i="37" s="1"/>
  <c r="AG55" i="37" s="1"/>
  <c r="AK55" i="37" s="1"/>
  <c r="AO55" i="37" s="1"/>
  <c r="AS55" i="37" s="1"/>
  <c r="AW55" i="37" s="1"/>
  <c r="BA55" i="37" s="1"/>
  <c r="M45" i="37"/>
  <c r="L29" i="37"/>
  <c r="M46" i="37"/>
  <c r="L9" i="37"/>
  <c r="M51" i="37"/>
  <c r="M54" i="37"/>
  <c r="L31" i="37"/>
  <c r="L24" i="37"/>
  <c r="L51" i="37"/>
  <c r="AS40" i="37" l="1"/>
  <c r="AR77" i="37"/>
  <c r="P51" i="37"/>
  <c r="T51" i="37" s="1"/>
  <c r="X51" i="37" s="1"/>
  <c r="AB51" i="37" s="1"/>
  <c r="AF51" i="37" s="1"/>
  <c r="AJ51" i="37" s="1"/>
  <c r="AN51" i="37" s="1"/>
  <c r="AR51" i="37" s="1"/>
  <c r="AV51" i="37" s="1"/>
  <c r="AZ51" i="37" s="1"/>
  <c r="T31" i="37"/>
  <c r="X31" i="37" s="1"/>
  <c r="AB31" i="37" s="1"/>
  <c r="AF31" i="37" s="1"/>
  <c r="AJ31" i="37" s="1"/>
  <c r="AN31" i="37" s="1"/>
  <c r="AR31" i="37" s="1"/>
  <c r="AV31" i="37" s="1"/>
  <c r="AZ31" i="37" s="1"/>
  <c r="Q51" i="37"/>
  <c r="U51" i="37" s="1"/>
  <c r="Y51" i="37" s="1"/>
  <c r="AC51" i="37" s="1"/>
  <c r="AG51" i="37" s="1"/>
  <c r="AK51" i="37" s="1"/>
  <c r="AO51" i="37" s="1"/>
  <c r="AS51" i="37" s="1"/>
  <c r="AW51" i="37" s="1"/>
  <c r="BA51" i="37" s="1"/>
  <c r="Q46" i="37"/>
  <c r="U46" i="37" s="1"/>
  <c r="Y46" i="37" s="1"/>
  <c r="AC46" i="37" s="1"/>
  <c r="AG46" i="37" s="1"/>
  <c r="AK46" i="37" s="1"/>
  <c r="AO46" i="37" s="1"/>
  <c r="AS46" i="37" s="1"/>
  <c r="AW46" i="37" s="1"/>
  <c r="BA46" i="37" s="1"/>
  <c r="Q45" i="37"/>
  <c r="U45" i="37" s="1"/>
  <c r="Y45" i="37" s="1"/>
  <c r="AC45" i="37" s="1"/>
  <c r="AG45" i="37" s="1"/>
  <c r="AK45" i="37" s="1"/>
  <c r="AO45" i="37" s="1"/>
  <c r="AS45" i="37" s="1"/>
  <c r="AW45" i="37" s="1"/>
  <c r="BA45" i="37" s="1"/>
  <c r="U38" i="37"/>
  <c r="Y38" i="37" s="1"/>
  <c r="P24" i="37"/>
  <c r="T24" i="37" s="1"/>
  <c r="X24" i="37" s="1"/>
  <c r="AB24" i="37" s="1"/>
  <c r="AF24" i="37" s="1"/>
  <c r="AJ24" i="37" s="1"/>
  <c r="AN24" i="37" s="1"/>
  <c r="AR24" i="37" s="1"/>
  <c r="AV24" i="37" s="1"/>
  <c r="AZ24" i="37" s="1"/>
  <c r="Q54" i="37"/>
  <c r="U54" i="37" s="1"/>
  <c r="AC54" i="37" s="1"/>
  <c r="AG54" i="37" s="1"/>
  <c r="AK54" i="37" s="1"/>
  <c r="AO54" i="37" s="1"/>
  <c r="AS54" i="37" s="1"/>
  <c r="AW54" i="37" s="1"/>
  <c r="BA54" i="37" s="1"/>
  <c r="T29" i="37"/>
  <c r="X29" i="37" s="1"/>
  <c r="AB29" i="37" s="1"/>
  <c r="AF29" i="37" s="1"/>
  <c r="AJ29" i="37" s="1"/>
  <c r="AN29" i="37" s="1"/>
  <c r="AR29" i="37" s="1"/>
  <c r="AV29" i="37" s="1"/>
  <c r="AZ29" i="37" s="1"/>
  <c r="P9" i="37"/>
  <c r="M16" i="37"/>
  <c r="M52" i="37"/>
  <c r="AC38" i="37" l="1"/>
  <c r="AG38" i="37" s="1"/>
  <c r="AK38" i="37" s="1"/>
  <c r="AO38" i="37" s="1"/>
  <c r="AS38" i="37" s="1"/>
  <c r="AW38" i="37" s="1"/>
  <c r="BA38" i="37" s="1"/>
  <c r="AW40" i="37"/>
  <c r="AV77" i="37"/>
  <c r="Q52" i="37"/>
  <c r="U52" i="37" s="1"/>
  <c r="AC52" i="37" s="1"/>
  <c r="AG52" i="37" s="1"/>
  <c r="AK52" i="37" s="1"/>
  <c r="AO52" i="37" s="1"/>
  <c r="AS52" i="37" s="1"/>
  <c r="AW52" i="37" s="1"/>
  <c r="BA52" i="37" s="1"/>
  <c r="T9" i="37"/>
  <c r="X9" i="37" s="1"/>
  <c r="AB9" i="37" s="1"/>
  <c r="Q16" i="37"/>
  <c r="U16" i="37" s="1"/>
  <c r="Y16" i="37" s="1"/>
  <c r="AC16" i="37" s="1"/>
  <c r="AG16" i="37" s="1"/>
  <c r="AK16" i="37" s="1"/>
  <c r="AO16" i="37" s="1"/>
  <c r="AS16" i="37" s="1"/>
  <c r="AW16" i="37" s="1"/>
  <c r="BA16" i="37" s="1"/>
  <c r="BA40" i="37" l="1"/>
  <c r="AZ77" i="37"/>
  <c r="AF9" i="37"/>
  <c r="AJ9" i="37" s="1"/>
  <c r="AN9" i="37" s="1"/>
  <c r="M15" i="37"/>
  <c r="AR9" i="37" l="1"/>
  <c r="Q15" i="37"/>
  <c r="U15" i="37" s="1"/>
  <c r="Y15" i="37" s="1"/>
  <c r="AC15" i="37" s="1"/>
  <c r="L94" i="37"/>
  <c r="E95" i="37"/>
  <c r="H29" i="36"/>
  <c r="H34" i="36"/>
  <c r="L34" i="36" s="1"/>
  <c r="H36" i="36"/>
  <c r="AV9" i="37" l="1"/>
  <c r="P94" i="37"/>
  <c r="T94" i="37" s="1"/>
  <c r="X94" i="37" s="1"/>
  <c r="AB94" i="37" s="1"/>
  <c r="AF94" i="37" s="1"/>
  <c r="AJ94" i="37" s="1"/>
  <c r="AN94" i="37" s="1"/>
  <c r="AR94" i="37" s="1"/>
  <c r="AV94" i="37" s="1"/>
  <c r="AZ94" i="37" s="1"/>
  <c r="AG15" i="37"/>
  <c r="AK15" i="37" s="1"/>
  <c r="AO15" i="37" s="1"/>
  <c r="L90" i="37"/>
  <c r="L19" i="37"/>
  <c r="BC17" i="36"/>
  <c r="BB17" i="36"/>
  <c r="BB84" i="36"/>
  <c r="BD84" i="36"/>
  <c r="BB91" i="36"/>
  <c r="BD91" i="36" s="1"/>
  <c r="BB75" i="36"/>
  <c r="BB94" i="36"/>
  <c r="BB93" i="36"/>
  <c r="BB86" i="36"/>
  <c r="BB82" i="36"/>
  <c r="BB81" i="36"/>
  <c r="BB80" i="36"/>
  <c r="BD80" i="36" s="1"/>
  <c r="BB79" i="36"/>
  <c r="BB78" i="36"/>
  <c r="BB77" i="36"/>
  <c r="BB76" i="36"/>
  <c r="BD76" i="36" s="1"/>
  <c r="BD75" i="36"/>
  <c r="BB73" i="36"/>
  <c r="BC70" i="36"/>
  <c r="BC69" i="36"/>
  <c r="BE69" i="36" s="1"/>
  <c r="BC65" i="36"/>
  <c r="BC64" i="36"/>
  <c r="BC63" i="36"/>
  <c r="BC61" i="36"/>
  <c r="BC59" i="36"/>
  <c r="BC39" i="36"/>
  <c r="BB39" i="36"/>
  <c r="BB28" i="36"/>
  <c r="BC18" i="36"/>
  <c r="BB18" i="36"/>
  <c r="BB8" i="36"/>
  <c r="AS15" i="37" l="1"/>
  <c r="AZ9" i="37"/>
  <c r="P19" i="37"/>
  <c r="T19" i="37" s="1"/>
  <c r="X19" i="37" s="1"/>
  <c r="AB19" i="37" s="1"/>
  <c r="AF19" i="37" s="1"/>
  <c r="AJ19" i="37" s="1"/>
  <c r="AN19" i="37" s="1"/>
  <c r="AR19" i="37" s="1"/>
  <c r="AV19" i="37" s="1"/>
  <c r="AZ19" i="37" s="1"/>
  <c r="M90" i="37"/>
  <c r="P90" i="37"/>
  <c r="T90" i="37" s="1"/>
  <c r="X90" i="37" s="1"/>
  <c r="AB90" i="37" s="1"/>
  <c r="M19" i="37"/>
  <c r="BC34" i="36"/>
  <c r="BC36" i="36"/>
  <c r="BD86" i="36"/>
  <c r="BD94" i="36"/>
  <c r="BB85" i="36"/>
  <c r="BE70" i="36"/>
  <c r="BA48" i="36"/>
  <c r="BC12" i="36"/>
  <c r="BC11" i="36"/>
  <c r="BB11" i="36"/>
  <c r="BB10" i="36"/>
  <c r="BD18" i="36"/>
  <c r="BC20" i="36"/>
  <c r="AZ19" i="36"/>
  <c r="BA17" i="36"/>
  <c r="BA18" i="36"/>
  <c r="BC60" i="36"/>
  <c r="BC53" i="36"/>
  <c r="BC31" i="36"/>
  <c r="BB31" i="36"/>
  <c r="BC9" i="36"/>
  <c r="BB9" i="36"/>
  <c r="BC8" i="36"/>
  <c r="AU29" i="36"/>
  <c r="BC29" i="36" s="1"/>
  <c r="AT29" i="36"/>
  <c r="BB29" i="36" s="1"/>
  <c r="AY113" i="36"/>
  <c r="AX113" i="36"/>
  <c r="BA112" i="36"/>
  <c r="AZ111" i="36"/>
  <c r="AZ109" i="36"/>
  <c r="AZ108" i="36"/>
  <c r="AZ107" i="36"/>
  <c r="BA106" i="36"/>
  <c r="AZ106" i="36"/>
  <c r="AZ105" i="36"/>
  <c r="AZ104" i="36"/>
  <c r="AZ103" i="36"/>
  <c r="AZ102" i="36"/>
  <c r="AZ101" i="36"/>
  <c r="AZ100" i="36"/>
  <c r="AZ99" i="36"/>
  <c r="AZ98" i="36"/>
  <c r="AZ97" i="36"/>
  <c r="AZ96" i="36"/>
  <c r="AZ95" i="36"/>
  <c r="AZ87" i="36"/>
  <c r="AZ85" i="36"/>
  <c r="AZ74" i="36"/>
  <c r="BA71" i="36"/>
  <c r="AZ71" i="36"/>
  <c r="BA68" i="36"/>
  <c r="AZ68" i="36"/>
  <c r="BA67" i="36"/>
  <c r="AZ67" i="36"/>
  <c r="BA66" i="36"/>
  <c r="AZ56" i="36"/>
  <c r="AZ55" i="36"/>
  <c r="AZ54" i="36"/>
  <c r="AZ51" i="36"/>
  <c r="AZ50" i="36"/>
  <c r="AZ49" i="36"/>
  <c r="AZ48" i="36"/>
  <c r="AZ47" i="36"/>
  <c r="AZ46" i="36"/>
  <c r="AZ45" i="36"/>
  <c r="AZ44" i="36"/>
  <c r="AZ43" i="36"/>
  <c r="AZ42" i="36"/>
  <c r="AZ41" i="36"/>
  <c r="AZ40" i="36"/>
  <c r="AZ37" i="36"/>
  <c r="AZ35" i="36"/>
  <c r="AZ33" i="36"/>
  <c r="AZ27" i="36"/>
  <c r="AZ26" i="36"/>
  <c r="AZ23" i="36"/>
  <c r="AZ22" i="36"/>
  <c r="AZ20" i="36"/>
  <c r="BA15" i="36"/>
  <c r="BA14" i="36"/>
  <c r="AZ14" i="36"/>
  <c r="AW15" i="37" l="1"/>
  <c r="AF90" i="37"/>
  <c r="AJ90" i="37" s="1"/>
  <c r="AN90" i="37" s="1"/>
  <c r="AR90" i="37" s="1"/>
  <c r="AV90" i="37" s="1"/>
  <c r="AZ90" i="37" s="1"/>
  <c r="Q19" i="37"/>
  <c r="U19" i="37" s="1"/>
  <c r="Y19" i="37" s="1"/>
  <c r="AC19" i="37" s="1"/>
  <c r="AG19" i="37" s="1"/>
  <c r="AK19" i="37" s="1"/>
  <c r="AO19" i="37" s="1"/>
  <c r="AS19" i="37" s="1"/>
  <c r="AW19" i="37" s="1"/>
  <c r="BA19" i="37" s="1"/>
  <c r="Q90" i="37"/>
  <c r="U90" i="37" s="1"/>
  <c r="Y90" i="37" s="1"/>
  <c r="AC90" i="37" s="1"/>
  <c r="AG90" i="37" s="1"/>
  <c r="AK90" i="37" s="1"/>
  <c r="AO90" i="37" s="1"/>
  <c r="AS90" i="37" s="1"/>
  <c r="AW90" i="37" s="1"/>
  <c r="BA90" i="37" s="1"/>
  <c r="AY115" i="36"/>
  <c r="BD8" i="36"/>
  <c r="BD31" i="36"/>
  <c r="BC30" i="36"/>
  <c r="BD30" i="36" s="1"/>
  <c r="BB30" i="36"/>
  <c r="H30" i="36"/>
  <c r="L30" i="36" s="1"/>
  <c r="P30" i="36" s="1"/>
  <c r="T30" i="36" s="1"/>
  <c r="X30" i="36" s="1"/>
  <c r="AB30" i="36" s="1"/>
  <c r="AF30" i="36" s="1"/>
  <c r="AJ30" i="36" s="1"/>
  <c r="AN30" i="36" s="1"/>
  <c r="AR30" i="36" s="1"/>
  <c r="AV30" i="36" s="1"/>
  <c r="AZ30" i="36" s="1"/>
  <c r="H31" i="36"/>
  <c r="L31" i="36" s="1"/>
  <c r="P31" i="36" s="1"/>
  <c r="T31" i="36" s="1"/>
  <c r="X31" i="36" s="1"/>
  <c r="AB31" i="36" s="1"/>
  <c r="AF31" i="36" s="1"/>
  <c r="AJ31" i="36" s="1"/>
  <c r="AN31" i="36" s="1"/>
  <c r="AR31" i="36" s="1"/>
  <c r="AV31" i="36" s="1"/>
  <c r="AZ31" i="36" s="1"/>
  <c r="BA15" i="37" l="1"/>
  <c r="BD9" i="36"/>
  <c r="BB53" i="36"/>
  <c r="AU113" i="36" l="1"/>
  <c r="AT113" i="36"/>
  <c r="AV56" i="36"/>
  <c r="AV55" i="36"/>
  <c r="AV54" i="36"/>
  <c r="AV51" i="36"/>
  <c r="AV50" i="36"/>
  <c r="AV49" i="36"/>
  <c r="AV47" i="36"/>
  <c r="AV46" i="36"/>
  <c r="AV45" i="36"/>
  <c r="AV44" i="36"/>
  <c r="AV43" i="36"/>
  <c r="AV42" i="36"/>
  <c r="AV41" i="36"/>
  <c r="AV40" i="36"/>
  <c r="AV37" i="36"/>
  <c r="AV35" i="36"/>
  <c r="AV33" i="36"/>
  <c r="AV22" i="36"/>
  <c r="AV13" i="36"/>
  <c r="BC40" i="36" l="1"/>
  <c r="BB40" i="36"/>
  <c r="BC46" i="36"/>
  <c r="BC41" i="36"/>
  <c r="BC42" i="36"/>
  <c r="BC43" i="36"/>
  <c r="BC44" i="36"/>
  <c r="BC45" i="36"/>
  <c r="BC47" i="36"/>
  <c r="BC48" i="36"/>
  <c r="BC49" i="36"/>
  <c r="BC50" i="36"/>
  <c r="BC51" i="36"/>
  <c r="BC54" i="36"/>
  <c r="BC55" i="36"/>
  <c r="BC56" i="36"/>
  <c r="BC57" i="36"/>
  <c r="BC62" i="36"/>
  <c r="BC66" i="36"/>
  <c r="BC67" i="36"/>
  <c r="BC68" i="36"/>
  <c r="BC72" i="36"/>
  <c r="BC73" i="36"/>
  <c r="BC74" i="36"/>
  <c r="BC75" i="36"/>
  <c r="BC76" i="36"/>
  <c r="BC77" i="36"/>
  <c r="BC78" i="36"/>
  <c r="BC79" i="36"/>
  <c r="BC80" i="36"/>
  <c r="BC81" i="36"/>
  <c r="BC82" i="36"/>
  <c r="BC83" i="36"/>
  <c r="BC84" i="36"/>
  <c r="BC85" i="36"/>
  <c r="BC86" i="36"/>
  <c r="BC87" i="36"/>
  <c r="BC88" i="36"/>
  <c r="BC89" i="36"/>
  <c r="BC90" i="36"/>
  <c r="BC91" i="36"/>
  <c r="BC92" i="36"/>
  <c r="BC93" i="36"/>
  <c r="BC94" i="36"/>
  <c r="BC95" i="36"/>
  <c r="BC96" i="36"/>
  <c r="BC97" i="36"/>
  <c r="BC98" i="36"/>
  <c r="BC99" i="36"/>
  <c r="BC100" i="36"/>
  <c r="BC101" i="36"/>
  <c r="BC102" i="36"/>
  <c r="BC103" i="36"/>
  <c r="BC104" i="36"/>
  <c r="BC105" i="36"/>
  <c r="BC107" i="36"/>
  <c r="BC108" i="36"/>
  <c r="BC109" i="36"/>
  <c r="BC110" i="36"/>
  <c r="BC111" i="36"/>
  <c r="BB32" i="36"/>
  <c r="BB33" i="36"/>
  <c r="BB34" i="36"/>
  <c r="BB35" i="36"/>
  <c r="BB36" i="36"/>
  <c r="BD36" i="36" s="1"/>
  <c r="BB37" i="36"/>
  <c r="BB46" i="36"/>
  <c r="BB47" i="36"/>
  <c r="BB48" i="36"/>
  <c r="BB57" i="36"/>
  <c r="BB59" i="36"/>
  <c r="BE59" i="36" s="1"/>
  <c r="BB60" i="36"/>
  <c r="BE60" i="36" s="1"/>
  <c r="BB61" i="36"/>
  <c r="BE61" i="36" s="1"/>
  <c r="BB62" i="36"/>
  <c r="BB63" i="36"/>
  <c r="BE63" i="36" s="1"/>
  <c r="BB64" i="36"/>
  <c r="BE64" i="36" s="1"/>
  <c r="BB65" i="36"/>
  <c r="BE65" i="36" s="1"/>
  <c r="BB66" i="36"/>
  <c r="BB67" i="36"/>
  <c r="BB68" i="36"/>
  <c r="BB69" i="36"/>
  <c r="BB70" i="36"/>
  <c r="BB71" i="36"/>
  <c r="BB72" i="36"/>
  <c r="BB74" i="36"/>
  <c r="BB83" i="36"/>
  <c r="BB87" i="36"/>
  <c r="BB88" i="36"/>
  <c r="BB89" i="36"/>
  <c r="BB90" i="36"/>
  <c r="BB92" i="36"/>
  <c r="BB95" i="36"/>
  <c r="BB96" i="36"/>
  <c r="BB97" i="36"/>
  <c r="BB98" i="36"/>
  <c r="BB99" i="36"/>
  <c r="BB100" i="36"/>
  <c r="BB101" i="36"/>
  <c r="BB102" i="36"/>
  <c r="BB103" i="36"/>
  <c r="BB104" i="36"/>
  <c r="BB105" i="36"/>
  <c r="BB106" i="36"/>
  <c r="BB107" i="36"/>
  <c r="BB108" i="36"/>
  <c r="BB109" i="36"/>
  <c r="BB111" i="36"/>
  <c r="BB24" i="36"/>
  <c r="BB13" i="36"/>
  <c r="BB14" i="36"/>
  <c r="BB15" i="36"/>
  <c r="BB16" i="36"/>
  <c r="BE16" i="36" s="1"/>
  <c r="AW16" i="36" s="1"/>
  <c r="BA16" i="36" s="1"/>
  <c r="BE62" i="36" l="1"/>
  <c r="BD34" i="36"/>
  <c r="BE39" i="36"/>
  <c r="BE53" i="36"/>
  <c r="BD11" i="36"/>
  <c r="BC23" i="36"/>
  <c r="BC24" i="36"/>
  <c r="BC25" i="36"/>
  <c r="BC26" i="36"/>
  <c r="BC27" i="36"/>
  <c r="BC28" i="36"/>
  <c r="BD28" i="36" s="1"/>
  <c r="AV28" i="36" s="1"/>
  <c r="AZ28" i="36" s="1"/>
  <c r="BD29" i="36"/>
  <c r="BC32" i="36"/>
  <c r="BD17" i="36"/>
  <c r="AV17" i="36" s="1"/>
  <c r="AZ17" i="36" s="1"/>
  <c r="BC21" i="36"/>
  <c r="BC14" i="36"/>
  <c r="BC15" i="36"/>
  <c r="BD15" i="36" s="1"/>
  <c r="AV15" i="36" s="1"/>
  <c r="AZ15" i="36" s="1"/>
  <c r="BC10" i="36"/>
  <c r="BE112" i="36" l="1"/>
  <c r="AW112" i="36" s="1"/>
  <c r="BD107" i="36"/>
  <c r="AV107" i="36" s="1"/>
  <c r="BE106" i="36"/>
  <c r="AW106" i="36" s="1"/>
  <c r="BE15" i="36"/>
  <c r="AW15" i="36" s="1"/>
  <c r="BE14" i="36"/>
  <c r="AW14" i="36" s="1"/>
  <c r="AD113" i="36" l="1"/>
  <c r="AQ113" i="36" l="1"/>
  <c r="AP113" i="36"/>
  <c r="AM113" i="36" l="1"/>
  <c r="AL113" i="36"/>
  <c r="AI113" i="36" l="1"/>
  <c r="AH113" i="36"/>
  <c r="L16" i="37" l="1"/>
  <c r="H95" i="37"/>
  <c r="M18" i="37"/>
  <c r="I95" i="37"/>
  <c r="CR93" i="34"/>
  <c r="CV93" i="34" s="1"/>
  <c r="L95" i="37" l="1"/>
  <c r="I97" i="37"/>
  <c r="Q18" i="37"/>
  <c r="M95" i="37"/>
  <c r="P16" i="37"/>
  <c r="P95" i="37" s="1"/>
  <c r="AF79" i="36"/>
  <c r="AJ79" i="36" s="1"/>
  <c r="AN79" i="36" s="1"/>
  <c r="AR79" i="36" s="1"/>
  <c r="BD79" i="36" s="1"/>
  <c r="AV79" i="36" s="1"/>
  <c r="AZ79" i="36" s="1"/>
  <c r="M97" i="37" l="1"/>
  <c r="T16" i="37"/>
  <c r="Q97" i="37"/>
  <c r="U18" i="37"/>
  <c r="H86" i="36"/>
  <c r="H112" i="36"/>
  <c r="L112" i="36" s="1"/>
  <c r="P112" i="36" s="1"/>
  <c r="T112" i="36" s="1"/>
  <c r="X112" i="36" s="1"/>
  <c r="AB112" i="36" s="1"/>
  <c r="AF112" i="36" s="1"/>
  <c r="AJ112" i="36" s="1"/>
  <c r="AN112" i="36" s="1"/>
  <c r="AR112" i="36" s="1"/>
  <c r="BD112" i="36" s="1"/>
  <c r="AV112" i="36" s="1"/>
  <c r="AZ112" i="36" s="1"/>
  <c r="H106" i="36"/>
  <c r="L106" i="36" s="1"/>
  <c r="P106" i="36" s="1"/>
  <c r="T106" i="36" s="1"/>
  <c r="X106" i="36" s="1"/>
  <c r="AB106" i="36" s="1"/>
  <c r="AF106" i="36" s="1"/>
  <c r="AJ106" i="36" s="1"/>
  <c r="AN106" i="36" s="1"/>
  <c r="AR106" i="36" s="1"/>
  <c r="AE113" i="36"/>
  <c r="U95" i="37" l="1"/>
  <c r="Y18" i="37"/>
  <c r="AC18" i="37" s="1"/>
  <c r="T95" i="37"/>
  <c r="X16" i="37"/>
  <c r="AA113" i="36"/>
  <c r="Z113" i="36"/>
  <c r="W113" i="36"/>
  <c r="V113" i="36"/>
  <c r="S113" i="36"/>
  <c r="R113" i="36"/>
  <c r="O113" i="36"/>
  <c r="N113" i="36"/>
  <c r="K113" i="36"/>
  <c r="J113" i="36"/>
  <c r="G113" i="36"/>
  <c r="F113" i="36"/>
  <c r="I112" i="36"/>
  <c r="M112" i="36" s="1"/>
  <c r="Q112" i="36" s="1"/>
  <c r="U112" i="36" s="1"/>
  <c r="Y112" i="36" s="1"/>
  <c r="AC112" i="36" s="1"/>
  <c r="AG112" i="36" s="1"/>
  <c r="AK112" i="36" s="1"/>
  <c r="AO112" i="36" s="1"/>
  <c r="AS112" i="36" s="1"/>
  <c r="BC112" i="36" s="1"/>
  <c r="P81" i="36"/>
  <c r="T81" i="36" s="1"/>
  <c r="X81" i="36" s="1"/>
  <c r="AB81" i="36" s="1"/>
  <c r="AF81" i="36" s="1"/>
  <c r="AJ81" i="36" s="1"/>
  <c r="AN81" i="36" s="1"/>
  <c r="AR81" i="36" s="1"/>
  <c r="BD81" i="36" s="1"/>
  <c r="AV81" i="36" s="1"/>
  <c r="AZ81" i="36" s="1"/>
  <c r="H57" i="36"/>
  <c r="L57" i="36" s="1"/>
  <c r="P57" i="36" s="1"/>
  <c r="T57" i="36" s="1"/>
  <c r="H56" i="36"/>
  <c r="L56" i="36" s="1"/>
  <c r="P56" i="36" s="1"/>
  <c r="T56" i="36" s="1"/>
  <c r="X56" i="36" s="1"/>
  <c r="AB56" i="36" s="1"/>
  <c r="AF56" i="36" s="1"/>
  <c r="AJ56" i="36" s="1"/>
  <c r="AN56" i="36" s="1"/>
  <c r="AR56" i="36" s="1"/>
  <c r="H55" i="36"/>
  <c r="L55" i="36" s="1"/>
  <c r="P55" i="36" s="1"/>
  <c r="T55" i="36" s="1"/>
  <c r="X55" i="36" s="1"/>
  <c r="AB55" i="36" s="1"/>
  <c r="AF55" i="36" s="1"/>
  <c r="AJ55" i="36" s="1"/>
  <c r="AN55" i="36" s="1"/>
  <c r="AR55" i="36" s="1"/>
  <c r="H54" i="36"/>
  <c r="L54" i="36" s="1"/>
  <c r="P54" i="36" s="1"/>
  <c r="T54" i="36" s="1"/>
  <c r="X54" i="36" s="1"/>
  <c r="AB54" i="36" s="1"/>
  <c r="AF54" i="36" s="1"/>
  <c r="AJ54" i="36" s="1"/>
  <c r="AN54" i="36" s="1"/>
  <c r="AR54" i="36" s="1"/>
  <c r="U97" i="37" l="1"/>
  <c r="AB16" i="37"/>
  <c r="AG18" i="37"/>
  <c r="AK18" i="37" s="1"/>
  <c r="AC95" i="37"/>
  <c r="X95" i="37"/>
  <c r="Y95" i="37"/>
  <c r="CU105" i="34"/>
  <c r="CT105" i="34"/>
  <c r="AK95" i="37" l="1"/>
  <c r="AO18" i="37"/>
  <c r="AG95" i="37"/>
  <c r="AF16" i="37"/>
  <c r="AB95" i="37"/>
  <c r="AC97" i="37" s="1"/>
  <c r="Y97" i="37"/>
  <c r="H83" i="36"/>
  <c r="L83" i="36" s="1"/>
  <c r="P83" i="36" s="1"/>
  <c r="T83" i="36" s="1"/>
  <c r="X83" i="36" s="1"/>
  <c r="AB83" i="36" s="1"/>
  <c r="AF83" i="36" s="1"/>
  <c r="AJ83" i="36" s="1"/>
  <c r="AN83" i="36" s="1"/>
  <c r="AR83" i="36" s="1"/>
  <c r="BD83" i="36" s="1"/>
  <c r="AV83" i="36" s="1"/>
  <c r="AZ83" i="36" s="1"/>
  <c r="AS18" i="37" l="1"/>
  <c r="AO95" i="37"/>
  <c r="AJ16" i="37"/>
  <c r="AF95" i="37"/>
  <c r="AG97" i="37" s="1"/>
  <c r="CQ105" i="34"/>
  <c r="CP105" i="34"/>
  <c r="AJ95" i="37" l="1"/>
  <c r="AK97" i="37" s="1"/>
  <c r="AN16" i="37"/>
  <c r="AW18" i="37"/>
  <c r="AS95" i="37"/>
  <c r="CM105" i="34"/>
  <c r="CL105" i="34"/>
  <c r="BA18" i="37" l="1"/>
  <c r="BA95" i="37" s="1"/>
  <c r="AW95" i="37"/>
  <c r="AR16" i="37"/>
  <c r="AN95" i="37"/>
  <c r="AO97" i="37" s="1"/>
  <c r="CI105" i="34"/>
  <c r="CH105" i="34"/>
  <c r="AV16" i="37" l="1"/>
  <c r="AR95" i="37"/>
  <c r="AS97" i="37" s="1"/>
  <c r="CE105" i="34"/>
  <c r="CD105" i="34"/>
  <c r="CC13" i="34"/>
  <c r="CG13" i="34" s="1"/>
  <c r="CK13" i="34" s="1"/>
  <c r="CO13" i="34" s="1"/>
  <c r="CC14" i="34"/>
  <c r="CG14" i="34" s="1"/>
  <c r="CK14" i="34" s="1"/>
  <c r="CO14" i="34" s="1"/>
  <c r="AZ16" i="37" l="1"/>
  <c r="AZ95" i="37" s="1"/>
  <c r="BA97" i="37" s="1"/>
  <c r="AV95" i="37"/>
  <c r="AW97" i="37" s="1"/>
  <c r="CS13" i="34"/>
  <c r="E14" i="36" s="1"/>
  <c r="I14" i="36" s="1"/>
  <c r="M14" i="36" s="1"/>
  <c r="Q14" i="36" s="1"/>
  <c r="U14" i="36" s="1"/>
  <c r="Y14" i="36" s="1"/>
  <c r="AC14" i="36" s="1"/>
  <c r="AG14" i="36" s="1"/>
  <c r="AK14" i="36" s="1"/>
  <c r="AO14" i="36" s="1"/>
  <c r="AS14" i="36" s="1"/>
  <c r="CS14" i="34"/>
  <c r="E15" i="36" s="1"/>
  <c r="I15" i="36" s="1"/>
  <c r="M15" i="36" s="1"/>
  <c r="Q15" i="36" s="1"/>
  <c r="U15" i="36" s="1"/>
  <c r="Y15" i="36" s="1"/>
  <c r="AC15" i="36" s="1"/>
  <c r="AG15" i="36" s="1"/>
  <c r="AK15" i="36" s="1"/>
  <c r="AO15" i="36" s="1"/>
  <c r="AS15" i="36" s="1"/>
  <c r="BD16" i="34"/>
  <c r="CW14" i="34" l="1"/>
  <c r="CW13" i="34"/>
  <c r="BE15" i="34"/>
  <c r="BI15" i="34" s="1"/>
  <c r="BM15" i="34" s="1"/>
  <c r="BQ15" i="34" s="1"/>
  <c r="BU15" i="34" s="1"/>
  <c r="BY15" i="34" s="1"/>
  <c r="CC15" i="34" s="1"/>
  <c r="CG15" i="34" s="1"/>
  <c r="CK15" i="34" s="1"/>
  <c r="CO15" i="34" s="1"/>
  <c r="BD99" i="34"/>
  <c r="BH99" i="34" s="1"/>
  <c r="BL99" i="34" s="1"/>
  <c r="BP99" i="34" s="1"/>
  <c r="BT99" i="34" s="1"/>
  <c r="BX99" i="34" s="1"/>
  <c r="CB99" i="34" s="1"/>
  <c r="CF99" i="34" s="1"/>
  <c r="CJ99" i="34" s="1"/>
  <c r="CN99" i="34" s="1"/>
  <c r="BE98" i="34"/>
  <c r="BI98" i="34" s="1"/>
  <c r="BM98" i="34" s="1"/>
  <c r="BQ98" i="34" s="1"/>
  <c r="BU98" i="34" s="1"/>
  <c r="BY98" i="34" s="1"/>
  <c r="CC98" i="34" s="1"/>
  <c r="CG98" i="34" s="1"/>
  <c r="CK98" i="34" s="1"/>
  <c r="CO98" i="34" s="1"/>
  <c r="BD45" i="34"/>
  <c r="BH45" i="34" s="1"/>
  <c r="BL45" i="34" s="1"/>
  <c r="BP45" i="34" s="1"/>
  <c r="BT45" i="34" s="1"/>
  <c r="BX45" i="34" s="1"/>
  <c r="CB45" i="34" s="1"/>
  <c r="CF45" i="34" s="1"/>
  <c r="CJ45" i="34" s="1"/>
  <c r="CN45" i="34" s="1"/>
  <c r="BE45" i="34"/>
  <c r="BI45" i="34" s="1"/>
  <c r="CS98" i="34" l="1"/>
  <c r="E106" i="36" s="1"/>
  <c r="I106" i="36" s="1"/>
  <c r="M106" i="36" s="1"/>
  <c r="Q106" i="36" s="1"/>
  <c r="U106" i="36" s="1"/>
  <c r="Y106" i="36" s="1"/>
  <c r="AC106" i="36" s="1"/>
  <c r="AG106" i="36" s="1"/>
  <c r="AK106" i="36" s="1"/>
  <c r="AO106" i="36" s="1"/>
  <c r="AS106" i="36" s="1"/>
  <c r="I16" i="36"/>
  <c r="M16" i="36" s="1"/>
  <c r="Q16" i="36" s="1"/>
  <c r="U16" i="36" s="1"/>
  <c r="Y16" i="36" s="1"/>
  <c r="AC16" i="36" s="1"/>
  <c r="AG16" i="36" s="1"/>
  <c r="AK16" i="36" s="1"/>
  <c r="AO16" i="36" s="1"/>
  <c r="AS16" i="36" s="1"/>
  <c r="CS15" i="34"/>
  <c r="CW15" i="34" s="1"/>
  <c r="H48" i="36"/>
  <c r="L48" i="36" s="1"/>
  <c r="P48" i="36" s="1"/>
  <c r="T48" i="36" s="1"/>
  <c r="X48" i="36" s="1"/>
  <c r="AB48" i="36" s="1"/>
  <c r="AF48" i="36" s="1"/>
  <c r="AJ48" i="36" s="1"/>
  <c r="AN48" i="36" s="1"/>
  <c r="AR48" i="36" s="1"/>
  <c r="BD48" i="36" s="1"/>
  <c r="AV48" i="36" s="1"/>
  <c r="CR45" i="34"/>
  <c r="CV45" i="34" s="1"/>
  <c r="H107" i="36"/>
  <c r="L107" i="36" s="1"/>
  <c r="P107" i="36" s="1"/>
  <c r="T107" i="36" s="1"/>
  <c r="X107" i="36" s="1"/>
  <c r="AB107" i="36" s="1"/>
  <c r="AF107" i="36" s="1"/>
  <c r="AJ107" i="36" s="1"/>
  <c r="AN107" i="36" s="1"/>
  <c r="AR107" i="36" s="1"/>
  <c r="CR99" i="34"/>
  <c r="CV99" i="34" s="1"/>
  <c r="CA105" i="34"/>
  <c r="BZ105" i="34"/>
  <c r="BD106" i="36" l="1"/>
  <c r="AV106" i="36" s="1"/>
  <c r="BC106" i="36"/>
  <c r="CW98" i="34"/>
  <c r="BO105" i="34" l="1"/>
  <c r="BN105" i="34"/>
  <c r="BW105" i="34" l="1"/>
  <c r="BV105" i="34"/>
  <c r="BU59" i="34" l="1"/>
  <c r="BY59" i="34" s="1"/>
  <c r="CC59" i="34" s="1"/>
  <c r="CG59" i="34" s="1"/>
  <c r="CK59" i="34" s="1"/>
  <c r="CO59" i="34" s="1"/>
  <c r="I65" i="36" l="1"/>
  <c r="M65" i="36" s="1"/>
  <c r="Q65" i="36" s="1"/>
  <c r="U65" i="36" s="1"/>
  <c r="Y65" i="36" s="1"/>
  <c r="AC65" i="36" s="1"/>
  <c r="AG65" i="36" s="1"/>
  <c r="AK65" i="36" s="1"/>
  <c r="AO65" i="36" s="1"/>
  <c r="AS65" i="36" s="1"/>
  <c r="AW65" i="36" s="1"/>
  <c r="BA65" i="36" s="1"/>
  <c r="CS59" i="34"/>
  <c r="CW59" i="34" s="1"/>
  <c r="BP91" i="34"/>
  <c r="T91" i="34"/>
  <c r="X91" i="34" s="1"/>
  <c r="S7" i="34"/>
  <c r="R7" i="34"/>
  <c r="S16" i="34"/>
  <c r="R68" i="34"/>
  <c r="R69" i="34"/>
  <c r="R105" i="34" l="1"/>
  <c r="S105" i="34"/>
  <c r="BT39" i="34"/>
  <c r="BX39" i="34" s="1"/>
  <c r="CB39" i="34" s="1"/>
  <c r="CF39" i="34" s="1"/>
  <c r="CJ39" i="34" s="1"/>
  <c r="CN39" i="34" s="1"/>
  <c r="BT40" i="34"/>
  <c r="BX40" i="34" s="1"/>
  <c r="CB40" i="34" s="1"/>
  <c r="CF40" i="34" s="1"/>
  <c r="CJ40" i="34" s="1"/>
  <c r="CN40" i="34" s="1"/>
  <c r="CR40" i="34" s="1"/>
  <c r="BT41" i="34"/>
  <c r="BX41" i="34" s="1"/>
  <c r="CB41" i="34" s="1"/>
  <c r="CF41" i="34" s="1"/>
  <c r="CJ41" i="34" s="1"/>
  <c r="CN41" i="34" s="1"/>
  <c r="BT42" i="34"/>
  <c r="BX42" i="34" s="1"/>
  <c r="CB42" i="34" s="1"/>
  <c r="CF42" i="34" s="1"/>
  <c r="CJ42" i="34" s="1"/>
  <c r="CN42" i="34" s="1"/>
  <c r="BT43" i="34"/>
  <c r="BX43" i="34" s="1"/>
  <c r="CB43" i="34" s="1"/>
  <c r="CF43" i="34" s="1"/>
  <c r="CJ43" i="34" s="1"/>
  <c r="CN43" i="34" s="1"/>
  <c r="BT44" i="34"/>
  <c r="BX44" i="34" s="1"/>
  <c r="CB44" i="34" s="1"/>
  <c r="CF44" i="34" s="1"/>
  <c r="CJ44" i="34" s="1"/>
  <c r="CN44" i="34" s="1"/>
  <c r="BT46" i="34"/>
  <c r="BX46" i="34" s="1"/>
  <c r="CB46" i="34" s="1"/>
  <c r="CF46" i="34" s="1"/>
  <c r="CJ46" i="34" s="1"/>
  <c r="CN46" i="34" s="1"/>
  <c r="BT47" i="34"/>
  <c r="BX47" i="34" s="1"/>
  <c r="CB47" i="34" s="1"/>
  <c r="CF47" i="34" s="1"/>
  <c r="CJ47" i="34" s="1"/>
  <c r="CN47" i="34" s="1"/>
  <c r="BT48" i="34"/>
  <c r="BX48" i="34" s="1"/>
  <c r="CB48" i="34" s="1"/>
  <c r="CF48" i="34" s="1"/>
  <c r="CJ48" i="34" s="1"/>
  <c r="CN48" i="34" s="1"/>
  <c r="BT50" i="34"/>
  <c r="BX50" i="34" s="1"/>
  <c r="CB50" i="34" s="1"/>
  <c r="CF50" i="34" s="1"/>
  <c r="CJ50" i="34" s="1"/>
  <c r="CN50" i="34" s="1"/>
  <c r="CR50" i="34" s="1"/>
  <c r="BT51" i="34"/>
  <c r="BX51" i="34" s="1"/>
  <c r="CB51" i="34" s="1"/>
  <c r="CF51" i="34" s="1"/>
  <c r="CJ51" i="34" s="1"/>
  <c r="CN51" i="34" s="1"/>
  <c r="CR51" i="34" s="1"/>
  <c r="BT52" i="34"/>
  <c r="BX52" i="34" s="1"/>
  <c r="CB52" i="34" s="1"/>
  <c r="CF52" i="34" s="1"/>
  <c r="CJ52" i="34" s="1"/>
  <c r="CN52" i="34" s="1"/>
  <c r="CR52" i="34" s="1"/>
  <c r="BT53" i="34"/>
  <c r="BX53" i="34" s="1"/>
  <c r="CB53" i="34" s="1"/>
  <c r="CF53" i="34" s="1"/>
  <c r="CJ53" i="34" s="1"/>
  <c r="CN53" i="34" s="1"/>
  <c r="CR53" i="34" s="1"/>
  <c r="BT57" i="34"/>
  <c r="BX57" i="34" s="1"/>
  <c r="BT60" i="34"/>
  <c r="BX60" i="34" s="1"/>
  <c r="CB60" i="34" s="1"/>
  <c r="BT61" i="34"/>
  <c r="BX61" i="34" s="1"/>
  <c r="CB61" i="34" s="1"/>
  <c r="CF61" i="34" s="1"/>
  <c r="CJ61" i="34" s="1"/>
  <c r="CN61" i="34" s="1"/>
  <c r="BT62" i="34"/>
  <c r="BX62" i="34" s="1"/>
  <c r="CB62" i="34" s="1"/>
  <c r="CF62" i="34" s="1"/>
  <c r="CJ62" i="34" s="1"/>
  <c r="CN62" i="34" s="1"/>
  <c r="BT65" i="34"/>
  <c r="BX65" i="34" s="1"/>
  <c r="CB65" i="34" s="1"/>
  <c r="CF65" i="34" s="1"/>
  <c r="CJ65" i="34" s="1"/>
  <c r="CN65" i="34" s="1"/>
  <c r="BT91" i="34"/>
  <c r="BX91" i="34" s="1"/>
  <c r="CB91" i="34" s="1"/>
  <c r="CF91" i="34" s="1"/>
  <c r="CJ91" i="34" s="1"/>
  <c r="CN91" i="34" s="1"/>
  <c r="BT35" i="34"/>
  <c r="BX35" i="34" s="1"/>
  <c r="CB35" i="34" s="1"/>
  <c r="CF35" i="34" s="1"/>
  <c r="CJ35" i="34" s="1"/>
  <c r="CN35" i="34" s="1"/>
  <c r="BT37" i="34"/>
  <c r="BX37" i="34" s="1"/>
  <c r="CB37" i="34" s="1"/>
  <c r="CF37" i="34" s="1"/>
  <c r="CJ37" i="34" s="1"/>
  <c r="CN37" i="34" s="1"/>
  <c r="BT38" i="34"/>
  <c r="BX38" i="34" s="1"/>
  <c r="CB38" i="34" s="1"/>
  <c r="CF38" i="34" s="1"/>
  <c r="CJ38" i="34" s="1"/>
  <c r="CN38" i="34" s="1"/>
  <c r="BS105" i="34"/>
  <c r="BR105" i="34"/>
  <c r="E7" i="34"/>
  <c r="F7" i="34"/>
  <c r="G7" i="34"/>
  <c r="J7" i="34"/>
  <c r="K7" i="34"/>
  <c r="N7" i="34"/>
  <c r="O7" i="34"/>
  <c r="W7" i="34"/>
  <c r="Z7" i="34"/>
  <c r="AA7" i="34"/>
  <c r="AD7" i="34"/>
  <c r="AE7" i="34"/>
  <c r="AH7" i="34"/>
  <c r="AI7" i="34"/>
  <c r="AL7" i="34"/>
  <c r="AM7" i="34"/>
  <c r="AQ7" i="34"/>
  <c r="AT7" i="34"/>
  <c r="AU7" i="34"/>
  <c r="AY7" i="34"/>
  <c r="E8" i="34"/>
  <c r="F8" i="34"/>
  <c r="J8" i="34"/>
  <c r="N8" i="34"/>
  <c r="Z8" i="34"/>
  <c r="AL8" i="34"/>
  <c r="AT8" i="34"/>
  <c r="AX8" i="34"/>
  <c r="E9" i="34"/>
  <c r="E10" i="34"/>
  <c r="E11" i="34"/>
  <c r="D12" i="34"/>
  <c r="H12" i="34" s="1"/>
  <c r="L12" i="34" s="1"/>
  <c r="P12" i="34" s="1"/>
  <c r="AB12" i="34"/>
  <c r="AF12" i="34" s="1"/>
  <c r="AJ12" i="34" s="1"/>
  <c r="AR12" i="34"/>
  <c r="AV12" i="34" s="1"/>
  <c r="AZ12" i="34" s="1"/>
  <c r="BD12" i="34" s="1"/>
  <c r="BH12" i="34" s="1"/>
  <c r="BL12" i="34" s="1"/>
  <c r="BP12" i="34" s="1"/>
  <c r="BT12" i="34" s="1"/>
  <c r="BX12" i="34" s="1"/>
  <c r="CB12" i="34" s="1"/>
  <c r="CF12" i="34" s="1"/>
  <c r="CJ12" i="34" s="1"/>
  <c r="CN12" i="34" s="1"/>
  <c r="D13" i="34"/>
  <c r="E13" i="34"/>
  <c r="H13" i="34"/>
  <c r="L13" i="34" s="1"/>
  <c r="P13" i="34" s="1"/>
  <c r="AB13" i="34"/>
  <c r="AF13" i="34" s="1"/>
  <c r="AJ13" i="34" s="1"/>
  <c r="AK13" i="34"/>
  <c r="AP13" i="34"/>
  <c r="AR13" i="34" s="1"/>
  <c r="AU13" i="34"/>
  <c r="E14" i="34"/>
  <c r="AK14" i="34"/>
  <c r="E16" i="34"/>
  <c r="F16" i="34"/>
  <c r="N16" i="34"/>
  <c r="AD16" i="34"/>
  <c r="AE16" i="34"/>
  <c r="AI16" i="34"/>
  <c r="AI105" i="34" s="1"/>
  <c r="AL16" i="34"/>
  <c r="AM16" i="34"/>
  <c r="AU16" i="34"/>
  <c r="D17" i="34"/>
  <c r="H17" i="34" s="1"/>
  <c r="L17" i="34" s="1"/>
  <c r="P17" i="34" s="1"/>
  <c r="T17" i="34" s="1"/>
  <c r="X17" i="34" s="1"/>
  <c r="AB17" i="34" s="1"/>
  <c r="AF17" i="34" s="1"/>
  <c r="AJ17" i="34" s="1"/>
  <c r="AN17" i="34" s="1"/>
  <c r="AR17" i="34" s="1"/>
  <c r="AV17" i="34" s="1"/>
  <c r="AZ17" i="34" s="1"/>
  <c r="BD17" i="34" s="1"/>
  <c r="BH17" i="34" s="1"/>
  <c r="BL17" i="34" s="1"/>
  <c r="BP17" i="34" s="1"/>
  <c r="BT17" i="34" s="1"/>
  <c r="BX17" i="34" s="1"/>
  <c r="CB17" i="34" s="1"/>
  <c r="CF17" i="34" s="1"/>
  <c r="CJ17" i="34" s="1"/>
  <c r="CN17" i="34" s="1"/>
  <c r="H18" i="34"/>
  <c r="J18" i="34"/>
  <c r="N18" i="34"/>
  <c r="E19" i="34"/>
  <c r="H19" i="34"/>
  <c r="P19" i="34"/>
  <c r="T19" i="34" s="1"/>
  <c r="X19" i="34" s="1"/>
  <c r="AB19" i="34" s="1"/>
  <c r="AF19" i="34" s="1"/>
  <c r="AJ19" i="34" s="1"/>
  <c r="AK19" i="34"/>
  <c r="AR19" i="34"/>
  <c r="AW19" i="34" s="1"/>
  <c r="AS19" i="34"/>
  <c r="AV19" i="34"/>
  <c r="E20" i="34"/>
  <c r="AK20" i="34"/>
  <c r="AS20" i="34"/>
  <c r="D21" i="34"/>
  <c r="H21" i="34"/>
  <c r="L21" i="34" s="1"/>
  <c r="P21" i="34" s="1"/>
  <c r="AB21" i="34"/>
  <c r="AF21" i="34" s="1"/>
  <c r="AJ21" i="34" s="1"/>
  <c r="AN21" i="34" s="1"/>
  <c r="AR21" i="34" s="1"/>
  <c r="AV21" i="34" s="1"/>
  <c r="BD21" i="34" s="1"/>
  <c r="BH21" i="34" s="1"/>
  <c r="BL21" i="34" s="1"/>
  <c r="BP21" i="34" s="1"/>
  <c r="BT21" i="34" s="1"/>
  <c r="BX21" i="34" s="1"/>
  <c r="CB21" i="34" s="1"/>
  <c r="CF21" i="34" s="1"/>
  <c r="CJ21" i="34" s="1"/>
  <c r="CN21" i="34" s="1"/>
  <c r="D22" i="34"/>
  <c r="E22" i="34"/>
  <c r="H22" i="34"/>
  <c r="L22" i="34" s="1"/>
  <c r="P22" i="34" s="1"/>
  <c r="AB22" i="34"/>
  <c r="AF22" i="34" s="1"/>
  <c r="AJ22" i="34" s="1"/>
  <c r="AN22" i="34" s="1"/>
  <c r="AR22" i="34" s="1"/>
  <c r="AV22" i="34" s="1"/>
  <c r="AZ22" i="34" s="1"/>
  <c r="BD22" i="34" s="1"/>
  <c r="BH22" i="34" s="1"/>
  <c r="BL22" i="34" s="1"/>
  <c r="BP22" i="34" s="1"/>
  <c r="BT22" i="34" s="1"/>
  <c r="BX22" i="34" s="1"/>
  <c r="CB22" i="34" s="1"/>
  <c r="CF22" i="34" s="1"/>
  <c r="CJ22" i="34" s="1"/>
  <c r="CN22" i="34" s="1"/>
  <c r="AK22" i="34"/>
  <c r="AS22" i="34"/>
  <c r="E23" i="34"/>
  <c r="AK23" i="34"/>
  <c r="AS23" i="34"/>
  <c r="E24" i="34"/>
  <c r="AK24" i="34"/>
  <c r="AS24" i="34"/>
  <c r="E25" i="34"/>
  <c r="AK25" i="34"/>
  <c r="AS25" i="34"/>
  <c r="E26" i="34"/>
  <c r="AK26" i="34"/>
  <c r="AS26" i="34"/>
  <c r="E27" i="34"/>
  <c r="AK27" i="34"/>
  <c r="AS27" i="34"/>
  <c r="AF28" i="34"/>
  <c r="AJ28" i="34" s="1"/>
  <c r="AN28" i="34" s="1"/>
  <c r="AR28" i="34" s="1"/>
  <c r="AV28" i="34" s="1"/>
  <c r="BD28" i="34" s="1"/>
  <c r="BH28" i="34" s="1"/>
  <c r="BL28" i="34" s="1"/>
  <c r="BP28" i="34" s="1"/>
  <c r="BT28" i="34" s="1"/>
  <c r="BX28" i="34" s="1"/>
  <c r="CB28" i="34" s="1"/>
  <c r="CF28" i="34" s="1"/>
  <c r="CJ28" i="34" s="1"/>
  <c r="CN28" i="34" s="1"/>
  <c r="CR28" i="34" s="1"/>
  <c r="CV28" i="34" s="1"/>
  <c r="E29" i="34"/>
  <c r="AD29" i="34"/>
  <c r="AE29" i="34"/>
  <c r="AK29" i="34"/>
  <c r="AL29" i="34"/>
  <c r="AM29" i="34"/>
  <c r="AT29" i="34"/>
  <c r="AU29" i="34"/>
  <c r="AX29" i="34"/>
  <c r="AY29" i="34"/>
  <c r="E30" i="34"/>
  <c r="AK30" i="34"/>
  <c r="AS30" i="34"/>
  <c r="D31" i="34"/>
  <c r="H31" i="34"/>
  <c r="X31" i="34"/>
  <c r="AB31" i="34" s="1"/>
  <c r="AF31" i="34" s="1"/>
  <c r="AJ31" i="34" s="1"/>
  <c r="AR31" i="34"/>
  <c r="AV31" i="34" s="1"/>
  <c r="AZ31" i="34" s="1"/>
  <c r="BD31" i="34" s="1"/>
  <c r="BH31" i="34" s="1"/>
  <c r="BL31" i="34" s="1"/>
  <c r="BP31" i="34" s="1"/>
  <c r="BT31" i="34" s="1"/>
  <c r="BX31" i="34" s="1"/>
  <c r="CB31" i="34" s="1"/>
  <c r="CF31" i="34" s="1"/>
  <c r="CJ31" i="34" s="1"/>
  <c r="CN31" i="34" s="1"/>
  <c r="E32" i="34"/>
  <c r="Y32" i="34"/>
  <c r="AE32" i="34"/>
  <c r="AK32" i="34"/>
  <c r="AM32" i="34"/>
  <c r="AU32" i="34"/>
  <c r="AY32" i="34"/>
  <c r="D33" i="34"/>
  <c r="H33" i="34" s="1"/>
  <c r="X33" i="34"/>
  <c r="AB33" i="34" s="1"/>
  <c r="AF33" i="34" s="1"/>
  <c r="AJ33" i="34" s="1"/>
  <c r="AR33" i="34"/>
  <c r="AV33" i="34" s="1"/>
  <c r="E34" i="34"/>
  <c r="Q34" i="34"/>
  <c r="Y34" i="34"/>
  <c r="AK34" i="34"/>
  <c r="AS34" i="34"/>
  <c r="AY34" i="34"/>
  <c r="D35" i="34"/>
  <c r="AR35" i="34"/>
  <c r="AV35" i="34" s="1"/>
  <c r="D36" i="34"/>
  <c r="J36" i="34"/>
  <c r="Z36" i="34"/>
  <c r="AE36" i="34"/>
  <c r="AM36" i="34"/>
  <c r="AT36" i="34"/>
  <c r="AU36" i="34"/>
  <c r="AX36" i="34"/>
  <c r="AY36" i="34"/>
  <c r="D37" i="34"/>
  <c r="AR37" i="34"/>
  <c r="D38" i="34"/>
  <c r="AR38" i="34"/>
  <c r="D39" i="34"/>
  <c r="AR39" i="34"/>
  <c r="D40" i="34"/>
  <c r="AR40" i="34"/>
  <c r="D41" i="34"/>
  <c r="AR41" i="34"/>
  <c r="D42" i="34"/>
  <c r="AR42" i="34"/>
  <c r="D43" i="34"/>
  <c r="K43" i="34"/>
  <c r="O43" i="34"/>
  <c r="W43" i="34"/>
  <c r="AR43" i="34"/>
  <c r="D44" i="34"/>
  <c r="AQ44" i="34"/>
  <c r="D46" i="34"/>
  <c r="AR46" i="34"/>
  <c r="D47" i="34"/>
  <c r="AR47" i="34"/>
  <c r="D48" i="34"/>
  <c r="AR48" i="34"/>
  <c r="D49" i="34"/>
  <c r="J49" i="34"/>
  <c r="O49" i="34"/>
  <c r="Z49" i="34"/>
  <c r="AE49" i="34"/>
  <c r="AM49" i="34"/>
  <c r="AU49" i="34"/>
  <c r="AX49" i="34"/>
  <c r="AY49" i="34"/>
  <c r="D50" i="34"/>
  <c r="AR50" i="34"/>
  <c r="D51" i="34"/>
  <c r="AR51" i="34"/>
  <c r="D52" i="34"/>
  <c r="AR52" i="34"/>
  <c r="D53" i="34"/>
  <c r="AR53" i="34"/>
  <c r="D55" i="34"/>
  <c r="E55" i="34"/>
  <c r="H55" i="34"/>
  <c r="M55" i="34"/>
  <c r="Q55" i="34" s="1"/>
  <c r="U55" i="34" s="1"/>
  <c r="Y55" i="34" s="1"/>
  <c r="AC55" i="34" s="1"/>
  <c r="AE55" i="34"/>
  <c r="AM55" i="34"/>
  <c r="AU55" i="34"/>
  <c r="AY55" i="34"/>
  <c r="D56" i="34"/>
  <c r="E56" i="34"/>
  <c r="H56" i="34"/>
  <c r="M56" i="34"/>
  <c r="Q56" i="34" s="1"/>
  <c r="U56" i="34" s="1"/>
  <c r="Y56" i="34" s="1"/>
  <c r="AC56" i="34" s="1"/>
  <c r="AE56" i="34"/>
  <c r="AR56" i="34"/>
  <c r="AY56" i="34"/>
  <c r="D57" i="34"/>
  <c r="E57" i="34"/>
  <c r="G57" i="34"/>
  <c r="I57" i="34" s="1"/>
  <c r="M57" i="34" s="1"/>
  <c r="Q57" i="34" s="1"/>
  <c r="U57" i="34" s="1"/>
  <c r="Y57" i="34" s="1"/>
  <c r="AC57" i="34" s="1"/>
  <c r="AE57" i="34"/>
  <c r="AM57" i="34"/>
  <c r="I58" i="34"/>
  <c r="K58" i="34"/>
  <c r="O58" i="34"/>
  <c r="AQ58" i="34"/>
  <c r="AU58" i="34"/>
  <c r="D60" i="34"/>
  <c r="E60" i="34"/>
  <c r="H60" i="34"/>
  <c r="M60" i="34"/>
  <c r="Q60" i="34" s="1"/>
  <c r="U60" i="34" s="1"/>
  <c r="Y60" i="34" s="1"/>
  <c r="AA60" i="34"/>
  <c r="AR60" i="34"/>
  <c r="D61" i="34"/>
  <c r="E61" i="34"/>
  <c r="H61" i="34"/>
  <c r="M61" i="34"/>
  <c r="Q61" i="34" s="1"/>
  <c r="U61" i="34" s="1"/>
  <c r="Y61" i="34" s="1"/>
  <c r="AC61" i="34" s="1"/>
  <c r="AG61" i="34" s="1"/>
  <c r="AK61" i="34" s="1"/>
  <c r="AO61" i="34" s="1"/>
  <c r="AS61" i="34" s="1"/>
  <c r="AW61" i="34" s="1"/>
  <c r="BE61" i="34" s="1"/>
  <c r="BI61" i="34" s="1"/>
  <c r="BM61" i="34" s="1"/>
  <c r="BQ61" i="34" s="1"/>
  <c r="BU61" i="34" s="1"/>
  <c r="BY61" i="34" s="1"/>
  <c r="CC61" i="34" s="1"/>
  <c r="CG61" i="34" s="1"/>
  <c r="CK61" i="34" s="1"/>
  <c r="CO61" i="34" s="1"/>
  <c r="D62" i="34"/>
  <c r="E62" i="34"/>
  <c r="H62" i="34"/>
  <c r="M62" i="34"/>
  <c r="Q62" i="34" s="1"/>
  <c r="U62" i="34" s="1"/>
  <c r="Y62" i="34" s="1"/>
  <c r="AC62" i="34" s="1"/>
  <c r="AG62" i="34" s="1"/>
  <c r="AK62" i="34" s="1"/>
  <c r="AO62" i="34" s="1"/>
  <c r="AS62" i="34" s="1"/>
  <c r="AW62" i="34" s="1"/>
  <c r="BE62" i="34" s="1"/>
  <c r="BI62" i="34" s="1"/>
  <c r="BM62" i="34" s="1"/>
  <c r="BQ62" i="34" s="1"/>
  <c r="BU62" i="34" s="1"/>
  <c r="BY62" i="34" s="1"/>
  <c r="CC62" i="34" s="1"/>
  <c r="CG62" i="34" s="1"/>
  <c r="CK62" i="34" s="1"/>
  <c r="CO62" i="34" s="1"/>
  <c r="AR62" i="34"/>
  <c r="D63" i="34"/>
  <c r="E63" i="34"/>
  <c r="I63" i="34"/>
  <c r="M63" i="34" s="1"/>
  <c r="Q63" i="34" s="1"/>
  <c r="U63" i="34" s="1"/>
  <c r="Y63" i="34" s="1"/>
  <c r="AC63" i="34" s="1"/>
  <c r="AG63" i="34" s="1"/>
  <c r="AK63" i="34" s="1"/>
  <c r="AO63" i="34" s="1"/>
  <c r="AS63" i="34" s="1"/>
  <c r="AW63" i="34" s="1"/>
  <c r="BE63" i="34" s="1"/>
  <c r="BI63" i="34" s="1"/>
  <c r="BM63" i="34" s="1"/>
  <c r="BQ63" i="34" s="1"/>
  <c r="BU63" i="34" s="1"/>
  <c r="BY63" i="34" s="1"/>
  <c r="CC63" i="34" s="1"/>
  <c r="CG63" i="34" s="1"/>
  <c r="CK63" i="34" s="1"/>
  <c r="CO63" i="34" s="1"/>
  <c r="AR63" i="34"/>
  <c r="D64" i="34"/>
  <c r="E64" i="34"/>
  <c r="H64" i="34"/>
  <c r="M64" i="34"/>
  <c r="Q64" i="34" s="1"/>
  <c r="U64" i="34" s="1"/>
  <c r="Y64" i="34" s="1"/>
  <c r="AC64" i="34" s="1"/>
  <c r="AG64" i="34" s="1"/>
  <c r="AK64" i="34" s="1"/>
  <c r="AO64" i="34" s="1"/>
  <c r="AS64" i="34" s="1"/>
  <c r="AW64" i="34" s="1"/>
  <c r="BE64" i="34" s="1"/>
  <c r="BI64" i="34" s="1"/>
  <c r="BM64" i="34" s="1"/>
  <c r="BQ64" i="34" s="1"/>
  <c r="BU64" i="34" s="1"/>
  <c r="BY64" i="34" s="1"/>
  <c r="CC64" i="34" s="1"/>
  <c r="CG64" i="34" s="1"/>
  <c r="CK64" i="34" s="1"/>
  <c r="CO64" i="34" s="1"/>
  <c r="AR64" i="34"/>
  <c r="D65" i="34"/>
  <c r="E65" i="34"/>
  <c r="H65" i="34"/>
  <c r="M65" i="34"/>
  <c r="Q65" i="34" s="1"/>
  <c r="U65" i="34" s="1"/>
  <c r="AC65" i="34"/>
  <c r="AG65" i="34" s="1"/>
  <c r="AK65" i="34" s="1"/>
  <c r="AR65" i="34"/>
  <c r="AS65" i="34"/>
  <c r="AW65" i="34" s="1"/>
  <c r="BE65" i="34" s="1"/>
  <c r="BI65" i="34" s="1"/>
  <c r="BM65" i="34" s="1"/>
  <c r="BQ65" i="34" s="1"/>
  <c r="BU65" i="34" s="1"/>
  <c r="BY65" i="34" s="1"/>
  <c r="CC65" i="34" s="1"/>
  <c r="CG65" i="34" s="1"/>
  <c r="CK65" i="34" s="1"/>
  <c r="CO65" i="34" s="1"/>
  <c r="D66" i="34"/>
  <c r="E66" i="34"/>
  <c r="H66" i="34"/>
  <c r="L66" i="34" s="1"/>
  <c r="P66" i="34" s="1"/>
  <c r="T66" i="34" s="1"/>
  <c r="X66" i="34" s="1"/>
  <c r="AB66" i="34" s="1"/>
  <c r="AD66" i="34"/>
  <c r="AL66" i="34"/>
  <c r="H67" i="34"/>
  <c r="L67" i="34" s="1"/>
  <c r="P67" i="34" s="1"/>
  <c r="T67" i="34" s="1"/>
  <c r="X67" i="34" s="1"/>
  <c r="AB67" i="34" s="1"/>
  <c r="AF67" i="34" s="1"/>
  <c r="AJ67" i="34" s="1"/>
  <c r="AN67" i="34" s="1"/>
  <c r="AR67" i="34" s="1"/>
  <c r="AV67" i="34" s="1"/>
  <c r="BD67" i="34" s="1"/>
  <c r="BH67" i="34" s="1"/>
  <c r="BL67" i="34" s="1"/>
  <c r="BP67" i="34" s="1"/>
  <c r="BT67" i="34" s="1"/>
  <c r="BX67" i="34" s="1"/>
  <c r="CB67" i="34" s="1"/>
  <c r="CF67" i="34" s="1"/>
  <c r="CJ67" i="34" s="1"/>
  <c r="CN67" i="34" s="1"/>
  <c r="AS67" i="34"/>
  <c r="D68" i="34"/>
  <c r="E68" i="34"/>
  <c r="H68" i="34"/>
  <c r="L68" i="34" s="1"/>
  <c r="P68" i="34" s="1"/>
  <c r="Z68" i="34"/>
  <c r="AD68" i="34"/>
  <c r="H69" i="34"/>
  <c r="J69" i="34"/>
  <c r="V69" i="34"/>
  <c r="Z69" i="34"/>
  <c r="AD69" i="34"/>
  <c r="AH69" i="34"/>
  <c r="AL69" i="34"/>
  <c r="AT69" i="34"/>
  <c r="AX69" i="34"/>
  <c r="D70" i="34"/>
  <c r="H70" i="34" s="1"/>
  <c r="E70" i="34"/>
  <c r="J70" i="34"/>
  <c r="AT70" i="34"/>
  <c r="AX70" i="34"/>
  <c r="D71" i="34"/>
  <c r="E71" i="34"/>
  <c r="H71" i="34"/>
  <c r="L71" i="34" s="1"/>
  <c r="N71" i="34"/>
  <c r="V71" i="34"/>
  <c r="Z71" i="34"/>
  <c r="AD71" i="34"/>
  <c r="D72" i="34"/>
  <c r="E72" i="34"/>
  <c r="H72" i="34"/>
  <c r="L72" i="34" s="1"/>
  <c r="P72" i="34" s="1"/>
  <c r="T72" i="34" s="1"/>
  <c r="X72" i="34" s="1"/>
  <c r="AB72" i="34" s="1"/>
  <c r="AF72" i="34" s="1"/>
  <c r="AJ72" i="34" s="1"/>
  <c r="AN72" i="34" s="1"/>
  <c r="AR72" i="34" s="1"/>
  <c r="AV72" i="34" s="1"/>
  <c r="AS72" i="34"/>
  <c r="D74" i="34"/>
  <c r="E74" i="34"/>
  <c r="H74" i="34"/>
  <c r="L74" i="34" s="1"/>
  <c r="P74" i="34" s="1"/>
  <c r="T74" i="34" s="1"/>
  <c r="X74" i="34" s="1"/>
  <c r="AB74" i="34" s="1"/>
  <c r="AF74" i="34" s="1"/>
  <c r="AJ74" i="34" s="1"/>
  <c r="AN74" i="34" s="1"/>
  <c r="AR74" i="34" s="1"/>
  <c r="AV74" i="34" s="1"/>
  <c r="BD74" i="34" s="1"/>
  <c r="BH74" i="34" s="1"/>
  <c r="BL74" i="34" s="1"/>
  <c r="BP74" i="34" s="1"/>
  <c r="BT74" i="34" s="1"/>
  <c r="BX74" i="34" s="1"/>
  <c r="CB74" i="34" s="1"/>
  <c r="CF74" i="34" s="1"/>
  <c r="CJ74" i="34" s="1"/>
  <c r="CN74" i="34" s="1"/>
  <c r="AS74" i="34"/>
  <c r="D75" i="34"/>
  <c r="E75" i="34"/>
  <c r="H75" i="34"/>
  <c r="L75" i="34" s="1"/>
  <c r="P75" i="34" s="1"/>
  <c r="T75" i="34" s="1"/>
  <c r="X75" i="34" s="1"/>
  <c r="AB75" i="34" s="1"/>
  <c r="AF75" i="34" s="1"/>
  <c r="AJ75" i="34" s="1"/>
  <c r="AN75" i="34" s="1"/>
  <c r="AR75" i="34" s="1"/>
  <c r="AV75" i="34" s="1"/>
  <c r="BD75" i="34" s="1"/>
  <c r="BH75" i="34" s="1"/>
  <c r="BL75" i="34" s="1"/>
  <c r="BP75" i="34" s="1"/>
  <c r="BT75" i="34" s="1"/>
  <c r="BX75" i="34" s="1"/>
  <c r="CB75" i="34" s="1"/>
  <c r="CF75" i="34" s="1"/>
  <c r="CJ75" i="34" s="1"/>
  <c r="CN75" i="34" s="1"/>
  <c r="AS75" i="34"/>
  <c r="D76" i="34"/>
  <c r="E76" i="34"/>
  <c r="AS76" i="34"/>
  <c r="D77" i="34"/>
  <c r="E77" i="34"/>
  <c r="H77" i="34"/>
  <c r="L77" i="34" s="1"/>
  <c r="N77" i="34"/>
  <c r="AS77" i="34"/>
  <c r="AJ78" i="34"/>
  <c r="AN78" i="34" s="1"/>
  <c r="AR78" i="34" s="1"/>
  <c r="AV78" i="34" s="1"/>
  <c r="BD78" i="34" s="1"/>
  <c r="BH78" i="34" s="1"/>
  <c r="BL78" i="34" s="1"/>
  <c r="BP78" i="34" s="1"/>
  <c r="BT78" i="34" s="1"/>
  <c r="BX78" i="34" s="1"/>
  <c r="CB78" i="34" s="1"/>
  <c r="CF78" i="34" s="1"/>
  <c r="CJ78" i="34" s="1"/>
  <c r="CN78" i="34" s="1"/>
  <c r="AS78" i="34"/>
  <c r="AJ79" i="34"/>
  <c r="AN79" i="34" s="1"/>
  <c r="AR79" i="34" s="1"/>
  <c r="AV79" i="34" s="1"/>
  <c r="BD79" i="34" s="1"/>
  <c r="BH79" i="34" s="1"/>
  <c r="BL79" i="34" s="1"/>
  <c r="BP79" i="34" s="1"/>
  <c r="BT79" i="34" s="1"/>
  <c r="BX79" i="34" s="1"/>
  <c r="CB79" i="34" s="1"/>
  <c r="CF79" i="34" s="1"/>
  <c r="CJ79" i="34" s="1"/>
  <c r="CN79" i="34" s="1"/>
  <c r="AS79" i="34"/>
  <c r="D80" i="34"/>
  <c r="E80" i="34"/>
  <c r="H80" i="34"/>
  <c r="L80" i="34" s="1"/>
  <c r="P80" i="34" s="1"/>
  <c r="T80" i="34" s="1"/>
  <c r="X80" i="34" s="1"/>
  <c r="AB80" i="34" s="1"/>
  <c r="AF80" i="34" s="1"/>
  <c r="AH80" i="34"/>
  <c r="AS80" i="34"/>
  <c r="D81" i="34"/>
  <c r="E81" i="34"/>
  <c r="H81" i="34"/>
  <c r="L81" i="34" s="1"/>
  <c r="P81" i="34" s="1"/>
  <c r="T81" i="34" s="1"/>
  <c r="X81" i="34" s="1"/>
  <c r="AB81" i="34" s="1"/>
  <c r="AF81" i="34" s="1"/>
  <c r="AJ81" i="34" s="1"/>
  <c r="AN81" i="34" s="1"/>
  <c r="AR81" i="34" s="1"/>
  <c r="AV81" i="34" s="1"/>
  <c r="BD81" i="34" s="1"/>
  <c r="BH81" i="34" s="1"/>
  <c r="BL81" i="34" s="1"/>
  <c r="BP81" i="34" s="1"/>
  <c r="BT81" i="34" s="1"/>
  <c r="BX81" i="34" s="1"/>
  <c r="CB81" i="34" s="1"/>
  <c r="CF81" i="34" s="1"/>
  <c r="CJ81" i="34" s="1"/>
  <c r="CN81" i="34" s="1"/>
  <c r="AS81" i="34"/>
  <c r="D82" i="34"/>
  <c r="E82" i="34"/>
  <c r="AS82" i="34"/>
  <c r="D83" i="34"/>
  <c r="E83" i="34"/>
  <c r="H83" i="34"/>
  <c r="L83" i="34" s="1"/>
  <c r="P83" i="34" s="1"/>
  <c r="T83" i="34" s="1"/>
  <c r="X83" i="34" s="1"/>
  <c r="AB83" i="34" s="1"/>
  <c r="AF83" i="34" s="1"/>
  <c r="AJ83" i="34" s="1"/>
  <c r="AN83" i="34" s="1"/>
  <c r="AR83" i="34" s="1"/>
  <c r="AV83" i="34" s="1"/>
  <c r="BD83" i="34" s="1"/>
  <c r="BH83" i="34" s="1"/>
  <c r="BL83" i="34" s="1"/>
  <c r="BP83" i="34" s="1"/>
  <c r="BT83" i="34" s="1"/>
  <c r="BX83" i="34" s="1"/>
  <c r="CB83" i="34" s="1"/>
  <c r="CF83" i="34" s="1"/>
  <c r="CJ83" i="34" s="1"/>
  <c r="CN83" i="34" s="1"/>
  <c r="AS83" i="34"/>
  <c r="D84" i="34"/>
  <c r="E84" i="34"/>
  <c r="H84" i="34"/>
  <c r="L84" i="34" s="1"/>
  <c r="P84" i="34" s="1"/>
  <c r="T84" i="34" s="1"/>
  <c r="X84" i="34" s="1"/>
  <c r="AB84" i="34" s="1"/>
  <c r="AF84" i="34" s="1"/>
  <c r="AJ84" i="34" s="1"/>
  <c r="AN84" i="34" s="1"/>
  <c r="AR84" i="34" s="1"/>
  <c r="AV84" i="34" s="1"/>
  <c r="BD84" i="34" s="1"/>
  <c r="BH84" i="34" s="1"/>
  <c r="BL84" i="34" s="1"/>
  <c r="BP84" i="34" s="1"/>
  <c r="BT84" i="34" s="1"/>
  <c r="BX84" i="34" s="1"/>
  <c r="CB84" i="34" s="1"/>
  <c r="CF84" i="34" s="1"/>
  <c r="CJ84" i="34" s="1"/>
  <c r="CN84" i="34" s="1"/>
  <c r="AS84" i="34"/>
  <c r="D85" i="34"/>
  <c r="E85" i="34"/>
  <c r="H85" i="34"/>
  <c r="L85" i="34" s="1"/>
  <c r="P85" i="34" s="1"/>
  <c r="T85" i="34" s="1"/>
  <c r="X85" i="34" s="1"/>
  <c r="AB85" i="34" s="1"/>
  <c r="AF85" i="34" s="1"/>
  <c r="AJ85" i="34" s="1"/>
  <c r="AN85" i="34" s="1"/>
  <c r="AR85" i="34" s="1"/>
  <c r="AV85" i="34" s="1"/>
  <c r="AS85" i="34"/>
  <c r="D86" i="34"/>
  <c r="E86" i="34"/>
  <c r="H86" i="34"/>
  <c r="L86" i="34" s="1"/>
  <c r="N86" i="34"/>
  <c r="AS86" i="34"/>
  <c r="D87" i="34"/>
  <c r="E87" i="34"/>
  <c r="H87" i="34"/>
  <c r="L87" i="34" s="1"/>
  <c r="P87" i="34" s="1"/>
  <c r="T87" i="34" s="1"/>
  <c r="X87" i="34" s="1"/>
  <c r="AB87" i="34" s="1"/>
  <c r="AF87" i="34" s="1"/>
  <c r="AJ87" i="34" s="1"/>
  <c r="AN87" i="34" s="1"/>
  <c r="AR87" i="34" s="1"/>
  <c r="AV87" i="34" s="1"/>
  <c r="BD87" i="34" s="1"/>
  <c r="BH87" i="34" s="1"/>
  <c r="BL87" i="34" s="1"/>
  <c r="BP87" i="34" s="1"/>
  <c r="BT87" i="34" s="1"/>
  <c r="BX87" i="34" s="1"/>
  <c r="CB87" i="34" s="1"/>
  <c r="CF87" i="34" s="1"/>
  <c r="CJ87" i="34" s="1"/>
  <c r="CN87" i="34" s="1"/>
  <c r="AS87" i="34"/>
  <c r="D88" i="34"/>
  <c r="E88" i="34"/>
  <c r="H88" i="34"/>
  <c r="L88" i="34" s="1"/>
  <c r="P88" i="34" s="1"/>
  <c r="T88" i="34" s="1"/>
  <c r="X88" i="34" s="1"/>
  <c r="AB88" i="34" s="1"/>
  <c r="AF88" i="34" s="1"/>
  <c r="AJ88" i="34" s="1"/>
  <c r="AN88" i="34" s="1"/>
  <c r="AR88" i="34" s="1"/>
  <c r="AV88" i="34" s="1"/>
  <c r="BD88" i="34" s="1"/>
  <c r="BH88" i="34" s="1"/>
  <c r="BL88" i="34" s="1"/>
  <c r="BP88" i="34" s="1"/>
  <c r="BT88" i="34" s="1"/>
  <c r="BX88" i="34" s="1"/>
  <c r="CB88" i="34" s="1"/>
  <c r="CF88" i="34" s="1"/>
  <c r="CJ88" i="34" s="1"/>
  <c r="CN88" i="34" s="1"/>
  <c r="AS88" i="34"/>
  <c r="D89" i="34"/>
  <c r="H89" i="34" s="1"/>
  <c r="L89" i="34" s="1"/>
  <c r="P89" i="34" s="1"/>
  <c r="T89" i="34" s="1"/>
  <c r="X89" i="34" s="1"/>
  <c r="AB89" i="34" s="1"/>
  <c r="AF89" i="34" s="1"/>
  <c r="AJ89" i="34" s="1"/>
  <c r="AN89" i="34" s="1"/>
  <c r="AR89" i="34" s="1"/>
  <c r="AV89" i="34" s="1"/>
  <c r="BD89" i="34" s="1"/>
  <c r="BH89" i="34" s="1"/>
  <c r="BL89" i="34" s="1"/>
  <c r="BP89" i="34" s="1"/>
  <c r="BT89" i="34" s="1"/>
  <c r="BX89" i="34" s="1"/>
  <c r="CB89" i="34" s="1"/>
  <c r="CF89" i="34" s="1"/>
  <c r="CJ89" i="34" s="1"/>
  <c r="CN89" i="34" s="1"/>
  <c r="E89" i="34"/>
  <c r="AS89" i="34"/>
  <c r="D90" i="34"/>
  <c r="H90" i="34" s="1"/>
  <c r="L90" i="34" s="1"/>
  <c r="P90" i="34" s="1"/>
  <c r="T90" i="34" s="1"/>
  <c r="X90" i="34" s="1"/>
  <c r="AB90" i="34" s="1"/>
  <c r="AF90" i="34" s="1"/>
  <c r="AJ90" i="34" s="1"/>
  <c r="AN90" i="34" s="1"/>
  <c r="AR90" i="34" s="1"/>
  <c r="AV90" i="34" s="1"/>
  <c r="E90" i="34"/>
  <c r="AS90" i="34"/>
  <c r="H92" i="34"/>
  <c r="L92" i="34" s="1"/>
  <c r="P92" i="34" s="1"/>
  <c r="T92" i="34" s="1"/>
  <c r="X92" i="34" s="1"/>
  <c r="AB92" i="34" s="1"/>
  <c r="AF92" i="34" s="1"/>
  <c r="AJ92" i="34" s="1"/>
  <c r="AN92" i="34" s="1"/>
  <c r="AR92" i="34" s="1"/>
  <c r="AV92" i="34" s="1"/>
  <c r="BD92" i="34" s="1"/>
  <c r="BH92" i="34" s="1"/>
  <c r="BL92" i="34" s="1"/>
  <c r="BP92" i="34" s="1"/>
  <c r="BT92" i="34" s="1"/>
  <c r="BX92" i="34" s="1"/>
  <c r="CB92" i="34" s="1"/>
  <c r="CF92" i="34" s="1"/>
  <c r="CJ92" i="34" s="1"/>
  <c r="CN92" i="34" s="1"/>
  <c r="AS92" i="34"/>
  <c r="D94" i="34"/>
  <c r="E94" i="34"/>
  <c r="H94" i="34"/>
  <c r="L94" i="34" s="1"/>
  <c r="P94" i="34" s="1"/>
  <c r="T94" i="34" s="1"/>
  <c r="X94" i="34" s="1"/>
  <c r="AB94" i="34" s="1"/>
  <c r="AF94" i="34" s="1"/>
  <c r="AJ94" i="34" s="1"/>
  <c r="AN94" i="34" s="1"/>
  <c r="AR94" i="34" s="1"/>
  <c r="AV94" i="34" s="1"/>
  <c r="AS94" i="34"/>
  <c r="D95" i="34"/>
  <c r="E95" i="34"/>
  <c r="H95" i="34"/>
  <c r="L95" i="34" s="1"/>
  <c r="P95" i="34" s="1"/>
  <c r="T95" i="34" s="1"/>
  <c r="X95" i="34" s="1"/>
  <c r="AB95" i="34" s="1"/>
  <c r="AF95" i="34" s="1"/>
  <c r="AJ95" i="34" s="1"/>
  <c r="AN95" i="34" s="1"/>
  <c r="AR95" i="34" s="1"/>
  <c r="AV95" i="34" s="1"/>
  <c r="BD95" i="34" s="1"/>
  <c r="BH95" i="34" s="1"/>
  <c r="BL95" i="34" s="1"/>
  <c r="BP95" i="34" s="1"/>
  <c r="BT95" i="34" s="1"/>
  <c r="BX95" i="34" s="1"/>
  <c r="CB95" i="34" s="1"/>
  <c r="CF95" i="34" s="1"/>
  <c r="CJ95" i="34" s="1"/>
  <c r="CN95" i="34" s="1"/>
  <c r="AS95" i="34"/>
  <c r="D96" i="34"/>
  <c r="E96" i="34"/>
  <c r="H96" i="34"/>
  <c r="L96" i="34" s="1"/>
  <c r="P96" i="34" s="1"/>
  <c r="T96" i="34" s="1"/>
  <c r="X96" i="34" s="1"/>
  <c r="AB96" i="34" s="1"/>
  <c r="AF96" i="34" s="1"/>
  <c r="AJ96" i="34" s="1"/>
  <c r="AN96" i="34" s="1"/>
  <c r="AR96" i="34" s="1"/>
  <c r="AV96" i="34" s="1"/>
  <c r="BD96" i="34" s="1"/>
  <c r="BH96" i="34" s="1"/>
  <c r="BL96" i="34" s="1"/>
  <c r="BP96" i="34" s="1"/>
  <c r="BT96" i="34" s="1"/>
  <c r="BX96" i="34" s="1"/>
  <c r="CB96" i="34" s="1"/>
  <c r="CF96" i="34" s="1"/>
  <c r="CJ96" i="34" s="1"/>
  <c r="CN96" i="34" s="1"/>
  <c r="AS96" i="34"/>
  <c r="D97" i="34"/>
  <c r="E97" i="34"/>
  <c r="H97" i="34"/>
  <c r="L97" i="34" s="1"/>
  <c r="P97" i="34" s="1"/>
  <c r="T97" i="34" s="1"/>
  <c r="X97" i="34" s="1"/>
  <c r="AB97" i="34" s="1"/>
  <c r="AF97" i="34" s="1"/>
  <c r="AJ97" i="34" s="1"/>
  <c r="AN97" i="34" s="1"/>
  <c r="AR97" i="34" s="1"/>
  <c r="AV97" i="34" s="1"/>
  <c r="BD97" i="34" s="1"/>
  <c r="BH97" i="34" s="1"/>
  <c r="BL97" i="34" s="1"/>
  <c r="BP97" i="34" s="1"/>
  <c r="BT97" i="34" s="1"/>
  <c r="BX97" i="34" s="1"/>
  <c r="CB97" i="34" s="1"/>
  <c r="CF97" i="34" s="1"/>
  <c r="CJ97" i="34" s="1"/>
  <c r="CN97" i="34" s="1"/>
  <c r="AS97" i="34"/>
  <c r="D100" i="34"/>
  <c r="E100" i="34"/>
  <c r="H100" i="34"/>
  <c r="L100" i="34" s="1"/>
  <c r="P100" i="34" s="1"/>
  <c r="T100" i="34" s="1"/>
  <c r="X100" i="34" s="1"/>
  <c r="AB100" i="34" s="1"/>
  <c r="AF100" i="34" s="1"/>
  <c r="AJ100" i="34" s="1"/>
  <c r="AN100" i="34" s="1"/>
  <c r="AR100" i="34" s="1"/>
  <c r="AV100" i="34" s="1"/>
  <c r="BD100" i="34" s="1"/>
  <c r="BH100" i="34" s="1"/>
  <c r="BL100" i="34" s="1"/>
  <c r="BP100" i="34" s="1"/>
  <c r="BT100" i="34" s="1"/>
  <c r="BX100" i="34" s="1"/>
  <c r="CB100" i="34" s="1"/>
  <c r="CF100" i="34" s="1"/>
  <c r="CJ100" i="34" s="1"/>
  <c r="CN100" i="34" s="1"/>
  <c r="AS100" i="34"/>
  <c r="D101" i="34"/>
  <c r="E101" i="34"/>
  <c r="H101" i="34"/>
  <c r="L101" i="34" s="1"/>
  <c r="P101" i="34" s="1"/>
  <c r="T101" i="34" s="1"/>
  <c r="X101" i="34" s="1"/>
  <c r="AB101" i="34" s="1"/>
  <c r="AF101" i="34" s="1"/>
  <c r="AJ101" i="34" s="1"/>
  <c r="AN101" i="34" s="1"/>
  <c r="AR101" i="34" s="1"/>
  <c r="AV101" i="34" s="1"/>
  <c r="BD101" i="34" s="1"/>
  <c r="BH101" i="34" s="1"/>
  <c r="BL101" i="34" s="1"/>
  <c r="BP101" i="34" s="1"/>
  <c r="BT101" i="34" s="1"/>
  <c r="BX101" i="34" s="1"/>
  <c r="CB101" i="34" s="1"/>
  <c r="CF101" i="34" s="1"/>
  <c r="CJ101" i="34" s="1"/>
  <c r="CN101" i="34" s="1"/>
  <c r="AS101" i="34"/>
  <c r="E102" i="34"/>
  <c r="AS102" i="34"/>
  <c r="D103" i="34"/>
  <c r="E103" i="34"/>
  <c r="H103" i="34"/>
  <c r="L103" i="34" s="1"/>
  <c r="P103" i="34" s="1"/>
  <c r="T103" i="34" s="1"/>
  <c r="X103" i="34" s="1"/>
  <c r="AB103" i="34" s="1"/>
  <c r="AF103" i="34" s="1"/>
  <c r="AJ103" i="34" s="1"/>
  <c r="AN103" i="34" s="1"/>
  <c r="AR103" i="34" s="1"/>
  <c r="AV103" i="34" s="1"/>
  <c r="BD103" i="34" s="1"/>
  <c r="BH103" i="34" s="1"/>
  <c r="BL103" i="34" s="1"/>
  <c r="BP103" i="34" s="1"/>
  <c r="BT103" i="34" s="1"/>
  <c r="BX103" i="34" s="1"/>
  <c r="CB103" i="34" s="1"/>
  <c r="CF103" i="34" s="1"/>
  <c r="CJ103" i="34" s="1"/>
  <c r="CN103" i="34" s="1"/>
  <c r="AS103" i="34"/>
  <c r="D104" i="34"/>
  <c r="H104" i="34" s="1"/>
  <c r="I104" i="34"/>
  <c r="M104" i="34" s="1"/>
  <c r="Q104" i="34" s="1"/>
  <c r="U104" i="34" s="1"/>
  <c r="Y104" i="34" s="1"/>
  <c r="AC104" i="34" s="1"/>
  <c r="AG104" i="34" s="1"/>
  <c r="AK104" i="34" s="1"/>
  <c r="AO104" i="34" s="1"/>
  <c r="AS104" i="34" s="1"/>
  <c r="AW104" i="34" s="1"/>
  <c r="BE104" i="34" s="1"/>
  <c r="BI104" i="34" s="1"/>
  <c r="BM104" i="34" s="1"/>
  <c r="BQ104" i="34" s="1"/>
  <c r="BU104" i="34" s="1"/>
  <c r="BY104" i="34" s="1"/>
  <c r="CC104" i="34" s="1"/>
  <c r="CG104" i="34" s="1"/>
  <c r="CK104" i="34" s="1"/>
  <c r="CO104" i="34" s="1"/>
  <c r="CS104" i="34" s="1"/>
  <c r="P104" i="34"/>
  <c r="T104" i="34" s="1"/>
  <c r="X104" i="34" s="1"/>
  <c r="AJ104" i="34"/>
  <c r="AR104" i="34"/>
  <c r="AV104" i="34" s="1"/>
  <c r="AP105" i="34"/>
  <c r="BK105" i="34"/>
  <c r="BJ105" i="34"/>
  <c r="BG105" i="34"/>
  <c r="BF105" i="34"/>
  <c r="BC105" i="34"/>
  <c r="BB105" i="34"/>
  <c r="BD33" i="34"/>
  <c r="BH33" i="34" s="1"/>
  <c r="BL33" i="34" s="1"/>
  <c r="BP33" i="34" s="1"/>
  <c r="BT33" i="34" s="1"/>
  <c r="BX33" i="34" s="1"/>
  <c r="CB33" i="34" s="1"/>
  <c r="CF33" i="34" s="1"/>
  <c r="CJ33" i="34" s="1"/>
  <c r="CN33" i="34" s="1"/>
  <c r="CR33" i="34" l="1"/>
  <c r="H111" i="36"/>
  <c r="L111" i="36" s="1"/>
  <c r="P111" i="36" s="1"/>
  <c r="T111" i="36" s="1"/>
  <c r="X111" i="36" s="1"/>
  <c r="AB111" i="36" s="1"/>
  <c r="AF111" i="36" s="1"/>
  <c r="AJ111" i="36" s="1"/>
  <c r="AN111" i="36" s="1"/>
  <c r="AR111" i="36" s="1"/>
  <c r="BD111" i="36" s="1"/>
  <c r="AV111" i="36" s="1"/>
  <c r="CR103" i="34"/>
  <c r="CV103" i="34" s="1"/>
  <c r="H98" i="36"/>
  <c r="L98" i="36" s="1"/>
  <c r="P98" i="36" s="1"/>
  <c r="T98" i="36" s="1"/>
  <c r="X98" i="36" s="1"/>
  <c r="AB98" i="36" s="1"/>
  <c r="AF98" i="36" s="1"/>
  <c r="AJ98" i="36" s="1"/>
  <c r="AN98" i="36" s="1"/>
  <c r="AR98" i="36" s="1"/>
  <c r="BD98" i="36" s="1"/>
  <c r="AV98" i="36" s="1"/>
  <c r="CR84" i="34"/>
  <c r="CV84" i="34" s="1"/>
  <c r="H97" i="36"/>
  <c r="L97" i="36" s="1"/>
  <c r="P97" i="36" s="1"/>
  <c r="T97" i="36" s="1"/>
  <c r="X97" i="36" s="1"/>
  <c r="AB97" i="36" s="1"/>
  <c r="AF97" i="36" s="1"/>
  <c r="AJ97" i="36" s="1"/>
  <c r="AN97" i="36" s="1"/>
  <c r="AR97" i="36" s="1"/>
  <c r="BD97" i="36" s="1"/>
  <c r="AV97" i="36" s="1"/>
  <c r="CR83" i="34"/>
  <c r="CV83" i="34" s="1"/>
  <c r="D88" i="36"/>
  <c r="H88" i="36" s="1"/>
  <c r="L88" i="36" s="1"/>
  <c r="P88" i="36" s="1"/>
  <c r="T88" i="36" s="1"/>
  <c r="X88" i="36" s="1"/>
  <c r="AB88" i="36" s="1"/>
  <c r="AF88" i="36" s="1"/>
  <c r="AJ88" i="36" s="1"/>
  <c r="AN88" i="36" s="1"/>
  <c r="AR88" i="36" s="1"/>
  <c r="BD88" i="36" s="1"/>
  <c r="AV88" i="36" s="1"/>
  <c r="AZ88" i="36" s="1"/>
  <c r="CR79" i="34"/>
  <c r="D87" i="36"/>
  <c r="H87" i="36" s="1"/>
  <c r="L87" i="36" s="1"/>
  <c r="P87" i="36" s="1"/>
  <c r="T87" i="36" s="1"/>
  <c r="X87" i="36" s="1"/>
  <c r="AB87" i="36" s="1"/>
  <c r="AF87" i="36" s="1"/>
  <c r="AJ87" i="36" s="1"/>
  <c r="AN87" i="36" s="1"/>
  <c r="AR87" i="36" s="1"/>
  <c r="CR78" i="34"/>
  <c r="H84" i="36"/>
  <c r="L84" i="36" s="1"/>
  <c r="P84" i="36" s="1"/>
  <c r="T84" i="36" s="1"/>
  <c r="X84" i="36" s="1"/>
  <c r="AB84" i="36" s="1"/>
  <c r="AF84" i="36" s="1"/>
  <c r="AJ84" i="36" s="1"/>
  <c r="AN84" i="36" s="1"/>
  <c r="AR84" i="36" s="1"/>
  <c r="CR75" i="34"/>
  <c r="CV75" i="34" s="1"/>
  <c r="H82" i="36"/>
  <c r="L82" i="36" s="1"/>
  <c r="P82" i="36" s="1"/>
  <c r="T82" i="36" s="1"/>
  <c r="X82" i="36" s="1"/>
  <c r="AB82" i="36" s="1"/>
  <c r="AF82" i="36" s="1"/>
  <c r="AJ82" i="36" s="1"/>
  <c r="AN82" i="36" s="1"/>
  <c r="AR82" i="36" s="1"/>
  <c r="BD82" i="36" s="1"/>
  <c r="AV82" i="36" s="1"/>
  <c r="AZ82" i="36" s="1"/>
  <c r="CR74" i="34"/>
  <c r="CV74" i="34" s="1"/>
  <c r="D74" i="36"/>
  <c r="H74" i="36" s="1"/>
  <c r="L74" i="36" s="1"/>
  <c r="P74" i="36" s="1"/>
  <c r="T74" i="36" s="1"/>
  <c r="X74" i="36" s="1"/>
  <c r="AB74" i="36" s="1"/>
  <c r="AF74" i="36" s="1"/>
  <c r="AJ74" i="36" s="1"/>
  <c r="AN74" i="36" s="1"/>
  <c r="AR74" i="36" s="1"/>
  <c r="BD74" i="36" s="1"/>
  <c r="AV74" i="36" s="1"/>
  <c r="CR67" i="34"/>
  <c r="E71" i="36"/>
  <c r="I71" i="36" s="1"/>
  <c r="M71" i="36" s="1"/>
  <c r="Q71" i="36" s="1"/>
  <c r="U71" i="36" s="1"/>
  <c r="Y71" i="36" s="1"/>
  <c r="AC71" i="36" s="1"/>
  <c r="AG71" i="36" s="1"/>
  <c r="AK71" i="36" s="1"/>
  <c r="AO71" i="36" s="1"/>
  <c r="AS71" i="36" s="1"/>
  <c r="BC71" i="36" s="1"/>
  <c r="CS65" i="34"/>
  <c r="I70" i="36"/>
  <c r="M70" i="36" s="1"/>
  <c r="Q70" i="36" s="1"/>
  <c r="U70" i="36" s="1"/>
  <c r="Y70" i="36" s="1"/>
  <c r="AC70" i="36" s="1"/>
  <c r="AG70" i="36" s="1"/>
  <c r="AK70" i="36" s="1"/>
  <c r="AO70" i="36" s="1"/>
  <c r="AS70" i="36" s="1"/>
  <c r="CS64" i="34"/>
  <c r="CW64" i="34" s="1"/>
  <c r="D33" i="36"/>
  <c r="H33" i="36" s="1"/>
  <c r="L33" i="36" s="1"/>
  <c r="P33" i="36" s="1"/>
  <c r="T33" i="36" s="1"/>
  <c r="X33" i="36" s="1"/>
  <c r="AB33" i="36" s="1"/>
  <c r="AF33" i="36" s="1"/>
  <c r="AJ33" i="36" s="1"/>
  <c r="AN33" i="36" s="1"/>
  <c r="AR33" i="36" s="1"/>
  <c r="CR31" i="34"/>
  <c r="D109" i="36"/>
  <c r="H109" i="36" s="1"/>
  <c r="L109" i="36" s="1"/>
  <c r="P109" i="36" s="1"/>
  <c r="T109" i="36" s="1"/>
  <c r="X109" i="36" s="1"/>
  <c r="AB109" i="36" s="1"/>
  <c r="AF109" i="36" s="1"/>
  <c r="AJ109" i="36" s="1"/>
  <c r="AN109" i="36" s="1"/>
  <c r="AR109" i="36" s="1"/>
  <c r="BD109" i="36" s="1"/>
  <c r="AV109" i="36" s="1"/>
  <c r="CR101" i="34"/>
  <c r="H108" i="36"/>
  <c r="L108" i="36" s="1"/>
  <c r="P108" i="36" s="1"/>
  <c r="T108" i="36" s="1"/>
  <c r="X108" i="36" s="1"/>
  <c r="AB108" i="36" s="1"/>
  <c r="AF108" i="36" s="1"/>
  <c r="AJ108" i="36" s="1"/>
  <c r="AN108" i="36" s="1"/>
  <c r="AR108" i="36" s="1"/>
  <c r="BD108" i="36" s="1"/>
  <c r="AV108" i="36" s="1"/>
  <c r="CR100" i="34"/>
  <c r="CV100" i="34" s="1"/>
  <c r="H105" i="36"/>
  <c r="L105" i="36" s="1"/>
  <c r="P105" i="36" s="1"/>
  <c r="T105" i="36" s="1"/>
  <c r="X105" i="36" s="1"/>
  <c r="AB105" i="36" s="1"/>
  <c r="AF105" i="36" s="1"/>
  <c r="AJ105" i="36" s="1"/>
  <c r="AN105" i="36" s="1"/>
  <c r="AR105" i="36" s="1"/>
  <c r="BD105" i="36" s="1"/>
  <c r="AV105" i="36" s="1"/>
  <c r="CR97" i="34"/>
  <c r="CV97" i="34" s="1"/>
  <c r="H104" i="36"/>
  <c r="L104" i="36" s="1"/>
  <c r="P104" i="36" s="1"/>
  <c r="T104" i="36" s="1"/>
  <c r="X104" i="36" s="1"/>
  <c r="AB104" i="36" s="1"/>
  <c r="AF104" i="36" s="1"/>
  <c r="AJ104" i="36" s="1"/>
  <c r="AN104" i="36" s="1"/>
  <c r="AR104" i="36" s="1"/>
  <c r="BD104" i="36" s="1"/>
  <c r="AV104" i="36" s="1"/>
  <c r="CR96" i="34"/>
  <c r="CV96" i="34" s="1"/>
  <c r="H103" i="36"/>
  <c r="L103" i="36" s="1"/>
  <c r="P103" i="36" s="1"/>
  <c r="T103" i="36" s="1"/>
  <c r="X103" i="36" s="1"/>
  <c r="AB103" i="36" s="1"/>
  <c r="AF103" i="36" s="1"/>
  <c r="AJ103" i="36" s="1"/>
  <c r="AN103" i="36" s="1"/>
  <c r="AR103" i="36" s="1"/>
  <c r="BD103" i="36" s="1"/>
  <c r="AV103" i="36" s="1"/>
  <c r="CR95" i="34"/>
  <c r="CV95" i="34" s="1"/>
  <c r="H92" i="36"/>
  <c r="L92" i="36" s="1"/>
  <c r="P92" i="36" s="1"/>
  <c r="T92" i="36" s="1"/>
  <c r="X92" i="36" s="1"/>
  <c r="AB92" i="36" s="1"/>
  <c r="AF92" i="36" s="1"/>
  <c r="AJ92" i="36" s="1"/>
  <c r="AN92" i="36" s="1"/>
  <c r="AR92" i="36" s="1"/>
  <c r="BD92" i="36" s="1"/>
  <c r="AV92" i="36" s="1"/>
  <c r="AZ92" i="36" s="1"/>
  <c r="CR92" i="34"/>
  <c r="CV92" i="34" s="1"/>
  <c r="D101" i="36"/>
  <c r="H101" i="36" s="1"/>
  <c r="L101" i="36" s="1"/>
  <c r="P101" i="36" s="1"/>
  <c r="T101" i="36" s="1"/>
  <c r="X101" i="36" s="1"/>
  <c r="AB101" i="36" s="1"/>
  <c r="AF101" i="36" s="1"/>
  <c r="AJ101" i="36" s="1"/>
  <c r="AN101" i="36" s="1"/>
  <c r="AR101" i="36" s="1"/>
  <c r="BD101" i="36" s="1"/>
  <c r="AV101" i="36" s="1"/>
  <c r="CR89" i="34"/>
  <c r="H94" i="36"/>
  <c r="L94" i="36" s="1"/>
  <c r="P94" i="36" s="1"/>
  <c r="T94" i="36" s="1"/>
  <c r="X94" i="36" s="1"/>
  <c r="AB94" i="36" s="1"/>
  <c r="AF94" i="36" s="1"/>
  <c r="AJ94" i="36" s="1"/>
  <c r="AN94" i="36" s="1"/>
  <c r="AR94" i="36" s="1"/>
  <c r="AV94" i="36" s="1"/>
  <c r="AZ94" i="36" s="1"/>
  <c r="CR88" i="34"/>
  <c r="CV88" i="34" s="1"/>
  <c r="D100" i="36"/>
  <c r="H100" i="36" s="1"/>
  <c r="L100" i="36" s="1"/>
  <c r="P100" i="36" s="1"/>
  <c r="T100" i="36" s="1"/>
  <c r="X100" i="36" s="1"/>
  <c r="AB100" i="36" s="1"/>
  <c r="AF100" i="36" s="1"/>
  <c r="AJ100" i="36" s="1"/>
  <c r="AN100" i="36" s="1"/>
  <c r="AR100" i="36" s="1"/>
  <c r="BD100" i="36" s="1"/>
  <c r="AV100" i="36" s="1"/>
  <c r="CR87" i="34"/>
  <c r="H90" i="36"/>
  <c r="L90" i="36" s="1"/>
  <c r="P90" i="36" s="1"/>
  <c r="T90" i="36" s="1"/>
  <c r="X90" i="36" s="1"/>
  <c r="AB90" i="36" s="1"/>
  <c r="AF90" i="36" s="1"/>
  <c r="AJ90" i="36" s="1"/>
  <c r="AN90" i="36" s="1"/>
  <c r="AR90" i="36" s="1"/>
  <c r="BD90" i="36" s="1"/>
  <c r="AV90" i="36" s="1"/>
  <c r="AZ90" i="36" s="1"/>
  <c r="CR81" i="34"/>
  <c r="CV81" i="34" s="1"/>
  <c r="I69" i="36"/>
  <c r="M69" i="36" s="1"/>
  <c r="Q69" i="36" s="1"/>
  <c r="U69" i="36" s="1"/>
  <c r="Y69" i="36" s="1"/>
  <c r="AC69" i="36" s="1"/>
  <c r="AG69" i="36" s="1"/>
  <c r="AK69" i="36" s="1"/>
  <c r="AO69" i="36" s="1"/>
  <c r="AS69" i="36" s="1"/>
  <c r="CS63" i="34"/>
  <c r="CW63" i="34" s="1"/>
  <c r="I68" i="36"/>
  <c r="M68" i="36" s="1"/>
  <c r="Q68" i="36" s="1"/>
  <c r="U68" i="36" s="1"/>
  <c r="Y68" i="36" s="1"/>
  <c r="AC68" i="36" s="1"/>
  <c r="AG68" i="36" s="1"/>
  <c r="AK68" i="36" s="1"/>
  <c r="AO68" i="36" s="1"/>
  <c r="AS68" i="36" s="1"/>
  <c r="CS62" i="34"/>
  <c r="CW62" i="34" s="1"/>
  <c r="E67" i="36"/>
  <c r="I67" i="36" s="1"/>
  <c r="M67" i="36" s="1"/>
  <c r="Q67" i="36" s="1"/>
  <c r="U67" i="36" s="1"/>
  <c r="Y67" i="36" s="1"/>
  <c r="AC67" i="36" s="1"/>
  <c r="AG67" i="36" s="1"/>
  <c r="AK67" i="36" s="1"/>
  <c r="AO67" i="36" s="1"/>
  <c r="AS67" i="36" s="1"/>
  <c r="CS61" i="34"/>
  <c r="D23" i="36"/>
  <c r="BB23" i="36" s="1"/>
  <c r="CR22" i="34"/>
  <c r="D22" i="36"/>
  <c r="BB22" i="36" s="1"/>
  <c r="CR21" i="34"/>
  <c r="D41" i="36"/>
  <c r="H41" i="36" s="1"/>
  <c r="L41" i="36" s="1"/>
  <c r="P41" i="36" s="1"/>
  <c r="T41" i="36" s="1"/>
  <c r="X41" i="36" s="1"/>
  <c r="AB41" i="36" s="1"/>
  <c r="AF41" i="36" s="1"/>
  <c r="AJ41" i="36" s="1"/>
  <c r="AN41" i="36" s="1"/>
  <c r="AR41" i="36" s="1"/>
  <c r="CR38" i="34"/>
  <c r="D37" i="36"/>
  <c r="H37" i="36" s="1"/>
  <c r="L37" i="36" s="1"/>
  <c r="P37" i="36" s="1"/>
  <c r="T37" i="36" s="1"/>
  <c r="X37" i="36" s="1"/>
  <c r="AB37" i="36" s="1"/>
  <c r="AF37" i="36" s="1"/>
  <c r="AJ37" i="36" s="1"/>
  <c r="AN37" i="36" s="1"/>
  <c r="AR37" i="36" s="1"/>
  <c r="CR35" i="34"/>
  <c r="D71" i="36"/>
  <c r="H71" i="36" s="1"/>
  <c r="L71" i="36" s="1"/>
  <c r="P71" i="36" s="1"/>
  <c r="T71" i="36" s="1"/>
  <c r="X71" i="36" s="1"/>
  <c r="AB71" i="36" s="1"/>
  <c r="AF71" i="36" s="1"/>
  <c r="AJ71" i="36" s="1"/>
  <c r="AN71" i="36" s="1"/>
  <c r="AR71" i="36" s="1"/>
  <c r="BD71" i="36" s="1"/>
  <c r="AV71" i="36" s="1"/>
  <c r="CR65" i="34"/>
  <c r="D67" i="36"/>
  <c r="H67" i="36" s="1"/>
  <c r="L67" i="36" s="1"/>
  <c r="P67" i="36" s="1"/>
  <c r="T67" i="36" s="1"/>
  <c r="X67" i="36" s="1"/>
  <c r="AB67" i="36" s="1"/>
  <c r="AF67" i="36" s="1"/>
  <c r="AJ67" i="36" s="1"/>
  <c r="AN67" i="36" s="1"/>
  <c r="AR67" i="36" s="1"/>
  <c r="CR61" i="34"/>
  <c r="D50" i="36"/>
  <c r="H50" i="36" s="1"/>
  <c r="L50" i="36" s="1"/>
  <c r="P50" i="36" s="1"/>
  <c r="T50" i="36" s="1"/>
  <c r="X50" i="36" s="1"/>
  <c r="AB50" i="36" s="1"/>
  <c r="AF50" i="36" s="1"/>
  <c r="AJ50" i="36" s="1"/>
  <c r="AN50" i="36" s="1"/>
  <c r="AR50" i="36" s="1"/>
  <c r="CR47" i="34"/>
  <c r="D46" i="36"/>
  <c r="H46" i="36" s="1"/>
  <c r="L46" i="36" s="1"/>
  <c r="P46" i="36" s="1"/>
  <c r="T46" i="36" s="1"/>
  <c r="X46" i="36" s="1"/>
  <c r="AB46" i="36" s="1"/>
  <c r="AF46" i="36" s="1"/>
  <c r="AN46" i="36" s="1"/>
  <c r="AR46" i="36" s="1"/>
  <c r="CR44" i="34"/>
  <c r="D45" i="36"/>
  <c r="H45" i="36" s="1"/>
  <c r="L45" i="36" s="1"/>
  <c r="P45" i="36" s="1"/>
  <c r="T45" i="36" s="1"/>
  <c r="X45" i="36" s="1"/>
  <c r="AB45" i="36" s="1"/>
  <c r="AF45" i="36" s="1"/>
  <c r="AJ45" i="36" s="1"/>
  <c r="AN45" i="36" s="1"/>
  <c r="AR45" i="36" s="1"/>
  <c r="CR42" i="34"/>
  <c r="CV40" i="34"/>
  <c r="CR12" i="34"/>
  <c r="D13" i="36" s="1"/>
  <c r="H13" i="36" s="1"/>
  <c r="L13" i="36" s="1"/>
  <c r="P13" i="36" s="1"/>
  <c r="T13" i="36" s="1"/>
  <c r="X13" i="36" s="1"/>
  <c r="AB13" i="36" s="1"/>
  <c r="AF13" i="36" s="1"/>
  <c r="AJ13" i="36" s="1"/>
  <c r="AN13" i="36" s="1"/>
  <c r="AR13" i="36" s="1"/>
  <c r="CR37" i="34"/>
  <c r="D40" i="36" s="1"/>
  <c r="H40" i="36" s="1"/>
  <c r="L40" i="36" s="1"/>
  <c r="P40" i="36" s="1"/>
  <c r="T40" i="36" s="1"/>
  <c r="X40" i="36" s="1"/>
  <c r="AB40" i="36" s="1"/>
  <c r="AF40" i="36" s="1"/>
  <c r="AJ40" i="36" s="1"/>
  <c r="AN40" i="36" s="1"/>
  <c r="AR40" i="36" s="1"/>
  <c r="H93" i="36"/>
  <c r="L93" i="36" s="1"/>
  <c r="P93" i="36" s="1"/>
  <c r="T93" i="36" s="1"/>
  <c r="X93" i="36" s="1"/>
  <c r="AB93" i="36" s="1"/>
  <c r="AF93" i="36" s="1"/>
  <c r="AJ93" i="36" s="1"/>
  <c r="AN93" i="36" s="1"/>
  <c r="AR93" i="36" s="1"/>
  <c r="BD93" i="36" s="1"/>
  <c r="AV93" i="36" s="1"/>
  <c r="AZ93" i="36" s="1"/>
  <c r="CR91" i="34"/>
  <c r="CV91" i="34" s="1"/>
  <c r="CR62" i="34"/>
  <c r="D68" i="36" s="1"/>
  <c r="H68" i="36" s="1"/>
  <c r="L68" i="36" s="1"/>
  <c r="P68" i="36" s="1"/>
  <c r="T68" i="36" s="1"/>
  <c r="X68" i="36" s="1"/>
  <c r="AB68" i="36" s="1"/>
  <c r="AF68" i="36" s="1"/>
  <c r="AJ68" i="36" s="1"/>
  <c r="AN68" i="36" s="1"/>
  <c r="AR68" i="36" s="1"/>
  <c r="BD68" i="36" s="1"/>
  <c r="AV68" i="36" s="1"/>
  <c r="CR48" i="34"/>
  <c r="D51" i="36" s="1"/>
  <c r="H51" i="36" s="1"/>
  <c r="L51" i="36" s="1"/>
  <c r="P51" i="36" s="1"/>
  <c r="T51" i="36" s="1"/>
  <c r="X51" i="36" s="1"/>
  <c r="AB51" i="36" s="1"/>
  <c r="AF51" i="36" s="1"/>
  <c r="AJ51" i="36" s="1"/>
  <c r="AN51" i="36" s="1"/>
  <c r="AR51" i="36" s="1"/>
  <c r="CR46" i="34"/>
  <c r="D49" i="36" s="1"/>
  <c r="H49" i="36" s="1"/>
  <c r="L49" i="36" s="1"/>
  <c r="P49" i="36" s="1"/>
  <c r="T49" i="36" s="1"/>
  <c r="X49" i="36" s="1"/>
  <c r="AB49" i="36" s="1"/>
  <c r="AF49" i="36" s="1"/>
  <c r="AJ49" i="36" s="1"/>
  <c r="AN49" i="36" s="1"/>
  <c r="AR49" i="36" s="1"/>
  <c r="CR43" i="34"/>
  <c r="D47" i="36" s="1"/>
  <c r="H47" i="36" s="1"/>
  <c r="L47" i="36" s="1"/>
  <c r="P47" i="36" s="1"/>
  <c r="T47" i="36" s="1"/>
  <c r="X47" i="36" s="1"/>
  <c r="AB47" i="36" s="1"/>
  <c r="AF47" i="36" s="1"/>
  <c r="AN47" i="36" s="1"/>
  <c r="AR47" i="36" s="1"/>
  <c r="CR41" i="34"/>
  <c r="D44" i="36" s="1"/>
  <c r="H44" i="36" s="1"/>
  <c r="L44" i="36" s="1"/>
  <c r="P44" i="36" s="1"/>
  <c r="T44" i="36" s="1"/>
  <c r="X44" i="36" s="1"/>
  <c r="AB44" i="36" s="1"/>
  <c r="AF44" i="36" s="1"/>
  <c r="AJ44" i="36" s="1"/>
  <c r="AN44" i="36" s="1"/>
  <c r="AR44" i="36" s="1"/>
  <c r="CR39" i="34"/>
  <c r="D42" i="36" s="1"/>
  <c r="H42" i="36" s="1"/>
  <c r="L42" i="36" s="1"/>
  <c r="P42" i="36" s="1"/>
  <c r="T42" i="36" s="1"/>
  <c r="X42" i="36" s="1"/>
  <c r="AB42" i="36" s="1"/>
  <c r="AF42" i="36" s="1"/>
  <c r="AJ42" i="36" s="1"/>
  <c r="AN42" i="36" s="1"/>
  <c r="AR42" i="36" s="1"/>
  <c r="H22" i="36"/>
  <c r="L22" i="36" s="1"/>
  <c r="P22" i="36" s="1"/>
  <c r="T22" i="36" s="1"/>
  <c r="X22" i="36" s="1"/>
  <c r="AB22" i="36" s="1"/>
  <c r="AF22" i="36" s="1"/>
  <c r="AJ22" i="36" s="1"/>
  <c r="AN22" i="36" s="1"/>
  <c r="AR22" i="36" s="1"/>
  <c r="BD67" i="36"/>
  <c r="AV67" i="36" s="1"/>
  <c r="I43" i="36"/>
  <c r="M43" i="36" s="1"/>
  <c r="Q43" i="36" s="1"/>
  <c r="U43" i="36" s="1"/>
  <c r="Y43" i="36" s="1"/>
  <c r="AC43" i="36" s="1"/>
  <c r="AG43" i="36" s="1"/>
  <c r="AK43" i="36" s="1"/>
  <c r="AO43" i="36" s="1"/>
  <c r="AS43" i="36" s="1"/>
  <c r="BE43" i="36" s="1"/>
  <c r="AW43" i="36" s="1"/>
  <c r="BA43" i="36" s="1"/>
  <c r="CR17" i="34"/>
  <c r="D43" i="36"/>
  <c r="H43" i="36" s="1"/>
  <c r="L43" i="36" s="1"/>
  <c r="P43" i="36" s="1"/>
  <c r="T43" i="36" s="1"/>
  <c r="X43" i="36" s="1"/>
  <c r="AB43" i="36" s="1"/>
  <c r="AF43" i="36" s="1"/>
  <c r="AJ43" i="36" s="1"/>
  <c r="AN43" i="36" s="1"/>
  <c r="AR43" i="36" s="1"/>
  <c r="AY105" i="34"/>
  <c r="W105" i="34"/>
  <c r="AF66" i="34"/>
  <c r="AJ66" i="34" s="1"/>
  <c r="G105" i="34"/>
  <c r="L69" i="34"/>
  <c r="P69" i="34" s="1"/>
  <c r="T69" i="34" s="1"/>
  <c r="X69" i="34" s="1"/>
  <c r="AB69" i="34" s="1"/>
  <c r="AF69" i="34" s="1"/>
  <c r="AJ69" i="34" s="1"/>
  <c r="AN69" i="34" s="1"/>
  <c r="AR69" i="34" s="1"/>
  <c r="AV69" i="34" s="1"/>
  <c r="BD69" i="34" s="1"/>
  <c r="BH69" i="34" s="1"/>
  <c r="BL69" i="34" s="1"/>
  <c r="BP69" i="34" s="1"/>
  <c r="BT69" i="34" s="1"/>
  <c r="BX69" i="34" s="1"/>
  <c r="CB69" i="34" s="1"/>
  <c r="CF69" i="34" s="1"/>
  <c r="CJ69" i="34" s="1"/>
  <c r="CN69" i="34" s="1"/>
  <c r="L18" i="34"/>
  <c r="P18" i="34" s="1"/>
  <c r="T18" i="34" s="1"/>
  <c r="X18" i="34" s="1"/>
  <c r="AB18" i="34" s="1"/>
  <c r="AF18" i="34" s="1"/>
  <c r="AJ18" i="34" s="1"/>
  <c r="AN18" i="34" s="1"/>
  <c r="AR18" i="34" s="1"/>
  <c r="AV18" i="34" s="1"/>
  <c r="AZ18" i="34" s="1"/>
  <c r="BD18" i="34" s="1"/>
  <c r="BH18" i="34" s="1"/>
  <c r="BL18" i="34" s="1"/>
  <c r="BP18" i="34" s="1"/>
  <c r="BT18" i="34" s="1"/>
  <c r="BX18" i="34" s="1"/>
  <c r="CB18" i="34" s="1"/>
  <c r="CF18" i="34" s="1"/>
  <c r="CJ18" i="34" s="1"/>
  <c r="CN18" i="34" s="1"/>
  <c r="AJ80" i="34"/>
  <c r="AN80" i="34" s="1"/>
  <c r="AR80" i="34" s="1"/>
  <c r="AV80" i="34" s="1"/>
  <c r="BD80" i="34" s="1"/>
  <c r="BH80" i="34" s="1"/>
  <c r="BL80" i="34" s="1"/>
  <c r="BP80" i="34" s="1"/>
  <c r="BT80" i="34" s="1"/>
  <c r="BX80" i="34" s="1"/>
  <c r="CB80" i="34" s="1"/>
  <c r="CF80" i="34" s="1"/>
  <c r="CJ80" i="34" s="1"/>
  <c r="CN80" i="34" s="1"/>
  <c r="P77" i="34"/>
  <c r="T77" i="34" s="1"/>
  <c r="X77" i="34" s="1"/>
  <c r="AB77" i="34" s="1"/>
  <c r="AF77" i="34" s="1"/>
  <c r="AJ77" i="34" s="1"/>
  <c r="AN77" i="34" s="1"/>
  <c r="AR77" i="34" s="1"/>
  <c r="AV77" i="34" s="1"/>
  <c r="BD77" i="34" s="1"/>
  <c r="BH77" i="34" s="1"/>
  <c r="BL77" i="34" s="1"/>
  <c r="BP77" i="34" s="1"/>
  <c r="BT77" i="34" s="1"/>
  <c r="BX77" i="34" s="1"/>
  <c r="CB77" i="34" s="1"/>
  <c r="CF77" i="34" s="1"/>
  <c r="CJ77" i="34" s="1"/>
  <c r="CN77" i="34" s="1"/>
  <c r="AG56" i="34"/>
  <c r="AK56" i="34" s="1"/>
  <c r="AO56" i="34" s="1"/>
  <c r="AS56" i="34" s="1"/>
  <c r="AW56" i="34" s="1"/>
  <c r="BE56" i="34" s="1"/>
  <c r="BI56" i="34" s="1"/>
  <c r="BM56" i="34" s="1"/>
  <c r="BQ56" i="34" s="1"/>
  <c r="BU56" i="34" s="1"/>
  <c r="BY56" i="34" s="1"/>
  <c r="CC56" i="34" s="1"/>
  <c r="CG56" i="34" s="1"/>
  <c r="CK56" i="34" s="1"/>
  <c r="CO56" i="34" s="1"/>
  <c r="AG55" i="34"/>
  <c r="AK55" i="34" s="1"/>
  <c r="AO55" i="34" s="1"/>
  <c r="AS55" i="34" s="1"/>
  <c r="AW55" i="34" s="1"/>
  <c r="BE55" i="34" s="1"/>
  <c r="BI55" i="34" s="1"/>
  <c r="BM55" i="34" s="1"/>
  <c r="BQ55" i="34" s="1"/>
  <c r="BU55" i="34" s="1"/>
  <c r="BY55" i="34" s="1"/>
  <c r="CC55" i="34" s="1"/>
  <c r="CG55" i="34" s="1"/>
  <c r="CK55" i="34" s="1"/>
  <c r="CO55" i="34" s="1"/>
  <c r="AQ105" i="34"/>
  <c r="AN66" i="34"/>
  <c r="AR66" i="34" s="1"/>
  <c r="AV66" i="34" s="1"/>
  <c r="BD66" i="34" s="1"/>
  <c r="BH66" i="34" s="1"/>
  <c r="BL66" i="34" s="1"/>
  <c r="BP66" i="34" s="1"/>
  <c r="BT66" i="34" s="1"/>
  <c r="BX66" i="34" s="1"/>
  <c r="CB66" i="34" s="1"/>
  <c r="CF66" i="34" s="1"/>
  <c r="CJ66" i="34" s="1"/>
  <c r="CN66" i="34" s="1"/>
  <c r="P86" i="34"/>
  <c r="T86" i="34" s="1"/>
  <c r="X86" i="34" s="1"/>
  <c r="AB86" i="34" s="1"/>
  <c r="AF86" i="34" s="1"/>
  <c r="AJ86" i="34" s="1"/>
  <c r="AN86" i="34" s="1"/>
  <c r="AR86" i="34" s="1"/>
  <c r="AV86" i="34" s="1"/>
  <c r="L70" i="34"/>
  <c r="P70" i="34" s="1"/>
  <c r="T70" i="34" s="1"/>
  <c r="X70" i="34" s="1"/>
  <c r="AB70" i="34" s="1"/>
  <c r="AF70" i="34" s="1"/>
  <c r="AJ70" i="34" s="1"/>
  <c r="AN70" i="34" s="1"/>
  <c r="AR70" i="34" s="1"/>
  <c r="AV70" i="34" s="1"/>
  <c r="BD70" i="34" s="1"/>
  <c r="BH70" i="34" s="1"/>
  <c r="BL70" i="34" s="1"/>
  <c r="BP70" i="34" s="1"/>
  <c r="BT70" i="34" s="1"/>
  <c r="BX70" i="34" s="1"/>
  <c r="CB70" i="34" s="1"/>
  <c r="CF70" i="34" s="1"/>
  <c r="CJ70" i="34" s="1"/>
  <c r="CN70" i="34" s="1"/>
  <c r="V105" i="34"/>
  <c r="T68" i="34"/>
  <c r="X68" i="34" s="1"/>
  <c r="AC60" i="34"/>
  <c r="AG60" i="34" s="1"/>
  <c r="AK60" i="34" s="1"/>
  <c r="AO60" i="34" s="1"/>
  <c r="AS60" i="34" s="1"/>
  <c r="AW60" i="34" s="1"/>
  <c r="BE60" i="34" s="1"/>
  <c r="BI60" i="34" s="1"/>
  <c r="BM60" i="34" s="1"/>
  <c r="BQ60" i="34" s="1"/>
  <c r="BU60" i="34" s="1"/>
  <c r="BY60" i="34" s="1"/>
  <c r="CC60" i="34" s="1"/>
  <c r="CG60" i="34" s="1"/>
  <c r="CK60" i="34" s="1"/>
  <c r="CO60" i="34" s="1"/>
  <c r="M58" i="34"/>
  <c r="Q58" i="34" s="1"/>
  <c r="U58" i="34" s="1"/>
  <c r="Y58" i="34" s="1"/>
  <c r="AC58" i="34" s="1"/>
  <c r="AG58" i="34" s="1"/>
  <c r="AK58" i="34" s="1"/>
  <c r="AO58" i="34" s="1"/>
  <c r="AS58" i="34" s="1"/>
  <c r="AW58" i="34" s="1"/>
  <c r="BE58" i="34" s="1"/>
  <c r="BI58" i="34" s="1"/>
  <c r="BM58" i="34" s="1"/>
  <c r="BQ58" i="34" s="1"/>
  <c r="BU58" i="34" s="1"/>
  <c r="BY58" i="34" s="1"/>
  <c r="CC58" i="34" s="1"/>
  <c r="CG58" i="34" s="1"/>
  <c r="CK58" i="34" s="1"/>
  <c r="CO58" i="34" s="1"/>
  <c r="AG57" i="34"/>
  <c r="AK57" i="34" s="1"/>
  <c r="AO57" i="34" s="1"/>
  <c r="AS57" i="34" s="1"/>
  <c r="AW57" i="34" s="1"/>
  <c r="BE57" i="34" s="1"/>
  <c r="BI57" i="34" s="1"/>
  <c r="BM57" i="34" s="1"/>
  <c r="BQ57" i="34" s="1"/>
  <c r="BU57" i="34" s="1"/>
  <c r="BY57" i="34" s="1"/>
  <c r="CC57" i="34" s="1"/>
  <c r="CG57" i="34" s="1"/>
  <c r="CK57" i="34" s="1"/>
  <c r="CO57" i="34" s="1"/>
  <c r="AE105" i="34"/>
  <c r="AU105" i="34"/>
  <c r="AA105" i="34"/>
  <c r="H82" i="34"/>
  <c r="L82" i="34" s="1"/>
  <c r="P82" i="34" s="1"/>
  <c r="T82" i="34" s="1"/>
  <c r="X82" i="34" s="1"/>
  <c r="AB82" i="34" s="1"/>
  <c r="AF82" i="34" s="1"/>
  <c r="AJ82" i="34" s="1"/>
  <c r="AN82" i="34" s="1"/>
  <c r="AR82" i="34" s="1"/>
  <c r="AV82" i="34" s="1"/>
  <c r="BD82" i="34" s="1"/>
  <c r="BH82" i="34" s="1"/>
  <c r="BL82" i="34" s="1"/>
  <c r="BP82" i="34" s="1"/>
  <c r="BT82" i="34" s="1"/>
  <c r="BX82" i="34" s="1"/>
  <c r="CB82" i="34" s="1"/>
  <c r="CF82" i="34" s="1"/>
  <c r="CJ82" i="34" s="1"/>
  <c r="CN82" i="34" s="1"/>
  <c r="H76" i="34"/>
  <c r="L76" i="34" s="1"/>
  <c r="P76" i="34" s="1"/>
  <c r="T76" i="34" s="1"/>
  <c r="X76" i="34" s="1"/>
  <c r="AB76" i="34" s="1"/>
  <c r="AF76" i="34" s="1"/>
  <c r="AJ76" i="34" s="1"/>
  <c r="AN76" i="34" s="1"/>
  <c r="AR76" i="34" s="1"/>
  <c r="AV76" i="34" s="1"/>
  <c r="BD76" i="34" s="1"/>
  <c r="BH76" i="34" s="1"/>
  <c r="BL76" i="34" s="1"/>
  <c r="BP76" i="34" s="1"/>
  <c r="BT76" i="34" s="1"/>
  <c r="BX76" i="34" s="1"/>
  <c r="CB76" i="34" s="1"/>
  <c r="CF76" i="34" s="1"/>
  <c r="CJ76" i="34" s="1"/>
  <c r="CN76" i="34" s="1"/>
  <c r="N105" i="34"/>
  <c r="AB68" i="34"/>
  <c r="AF68" i="34" s="1"/>
  <c r="AJ68" i="34" s="1"/>
  <c r="AN68" i="34" s="1"/>
  <c r="AR68" i="34" s="1"/>
  <c r="AV68" i="34" s="1"/>
  <c r="BD68" i="34" s="1"/>
  <c r="BH68" i="34" s="1"/>
  <c r="BL68" i="34" s="1"/>
  <c r="BP68" i="34" s="1"/>
  <c r="BT68" i="34" s="1"/>
  <c r="BX68" i="34" s="1"/>
  <c r="CB68" i="34" s="1"/>
  <c r="CF68" i="34" s="1"/>
  <c r="CJ68" i="34" s="1"/>
  <c r="CN68" i="34" s="1"/>
  <c r="J105" i="34"/>
  <c r="AX105" i="34"/>
  <c r="AT105" i="34"/>
  <c r="AM105" i="34"/>
  <c r="O105" i="34"/>
  <c r="BD34" i="34"/>
  <c r="BH34" i="34" s="1"/>
  <c r="BL34" i="34" s="1"/>
  <c r="BP34" i="34" s="1"/>
  <c r="BT34" i="34" s="1"/>
  <c r="BX34" i="34" s="1"/>
  <c r="CB34" i="34" s="1"/>
  <c r="CF34" i="34" s="1"/>
  <c r="CJ34" i="34" s="1"/>
  <c r="CN34" i="34" s="1"/>
  <c r="AH105" i="34"/>
  <c r="K105" i="34"/>
  <c r="F105" i="34"/>
  <c r="AL105" i="34"/>
  <c r="BE33" i="34"/>
  <c r="BI33" i="34" s="1"/>
  <c r="BM33" i="34" s="1"/>
  <c r="BQ33" i="34" s="1"/>
  <c r="BU33" i="34" s="1"/>
  <c r="BY33" i="34" s="1"/>
  <c r="CC33" i="34" s="1"/>
  <c r="CG33" i="34" s="1"/>
  <c r="CK33" i="34" s="1"/>
  <c r="CO33" i="34" s="1"/>
  <c r="P71" i="34"/>
  <c r="T71" i="34" s="1"/>
  <c r="X71" i="34" s="1"/>
  <c r="AB71" i="34" s="1"/>
  <c r="AF71" i="34" s="1"/>
  <c r="AJ71" i="34" s="1"/>
  <c r="AN71" i="34" s="1"/>
  <c r="AR71" i="34" s="1"/>
  <c r="AV71" i="34" s="1"/>
  <c r="BD71" i="34" s="1"/>
  <c r="BH71" i="34" s="1"/>
  <c r="BL71" i="34" s="1"/>
  <c r="BP71" i="34" s="1"/>
  <c r="BT71" i="34" s="1"/>
  <c r="BX71" i="34" s="1"/>
  <c r="CB71" i="34" s="1"/>
  <c r="CF71" i="34" s="1"/>
  <c r="CJ71" i="34" s="1"/>
  <c r="CN71" i="34" s="1"/>
  <c r="AD105" i="34"/>
  <c r="Z105" i="34"/>
  <c r="AV13" i="34"/>
  <c r="AZ13" i="34" s="1"/>
  <c r="BD13" i="34" s="1"/>
  <c r="BH13" i="34" s="1"/>
  <c r="BL13" i="34" s="1"/>
  <c r="BP13" i="34" s="1"/>
  <c r="BT13" i="34" s="1"/>
  <c r="BX13" i="34" s="1"/>
  <c r="CB13" i="34" s="1"/>
  <c r="CF13" i="34" s="1"/>
  <c r="CJ13" i="34" s="1"/>
  <c r="CN13" i="34" s="1"/>
  <c r="BD9" i="34"/>
  <c r="BH9" i="34" s="1"/>
  <c r="BL9" i="34" s="1"/>
  <c r="BP9" i="34" s="1"/>
  <c r="BT9" i="34" s="1"/>
  <c r="BX9" i="34" s="1"/>
  <c r="CB9" i="34" s="1"/>
  <c r="CF9" i="34" s="1"/>
  <c r="CJ9" i="34" s="1"/>
  <c r="CN9" i="34" s="1"/>
  <c r="BE17" i="34"/>
  <c r="BI17" i="34" s="1"/>
  <c r="BM17" i="34" s="1"/>
  <c r="BQ17" i="34" s="1"/>
  <c r="BU17" i="34" s="1"/>
  <c r="BY17" i="34" s="1"/>
  <c r="CC17" i="34" s="1"/>
  <c r="CG17" i="34" s="1"/>
  <c r="CK17" i="34" s="1"/>
  <c r="CO17" i="34" s="1"/>
  <c r="BD19" i="34"/>
  <c r="BH19" i="34" s="1"/>
  <c r="BL19" i="34" s="1"/>
  <c r="BP19" i="34" s="1"/>
  <c r="BT19" i="34" s="1"/>
  <c r="BX19" i="34" s="1"/>
  <c r="CB19" i="34" s="1"/>
  <c r="CF19" i="34" s="1"/>
  <c r="CJ19" i="34" s="1"/>
  <c r="CN19" i="34" s="1"/>
  <c r="BD27" i="34"/>
  <c r="BH27" i="34" s="1"/>
  <c r="BL27" i="34" s="1"/>
  <c r="BP27" i="34" s="1"/>
  <c r="BT27" i="34" s="1"/>
  <c r="BX27" i="34" s="1"/>
  <c r="CB27" i="34" s="1"/>
  <c r="CF27" i="34" s="1"/>
  <c r="CJ27" i="34" s="1"/>
  <c r="CN27" i="34" s="1"/>
  <c r="BE50" i="34"/>
  <c r="BI50" i="34" s="1"/>
  <c r="BM50" i="34" s="1"/>
  <c r="BQ50" i="34" s="1"/>
  <c r="BU50" i="34" s="1"/>
  <c r="BY50" i="34" s="1"/>
  <c r="CC50" i="34" s="1"/>
  <c r="CG50" i="34" s="1"/>
  <c r="CK50" i="34" s="1"/>
  <c r="CO50" i="34" s="1"/>
  <c r="BD10" i="34"/>
  <c r="BH10" i="34" s="1"/>
  <c r="BL10" i="34" s="1"/>
  <c r="BP10" i="34" s="1"/>
  <c r="BT10" i="34" s="1"/>
  <c r="BX10" i="34" s="1"/>
  <c r="CB10" i="34" s="1"/>
  <c r="CF10" i="34" s="1"/>
  <c r="CJ10" i="34" s="1"/>
  <c r="CN10" i="34" s="1"/>
  <c r="BE31" i="34"/>
  <c r="BI31" i="34" s="1"/>
  <c r="BM31" i="34" s="1"/>
  <c r="BQ31" i="34" s="1"/>
  <c r="BU31" i="34" s="1"/>
  <c r="BY31" i="34" s="1"/>
  <c r="CC31" i="34" s="1"/>
  <c r="CG31" i="34" s="1"/>
  <c r="CK31" i="34" s="1"/>
  <c r="CO31" i="34" s="1"/>
  <c r="BD72" i="34"/>
  <c r="BH72" i="34" s="1"/>
  <c r="BL72" i="34" s="1"/>
  <c r="BP72" i="34" s="1"/>
  <c r="BT72" i="34" s="1"/>
  <c r="BX72" i="34" s="1"/>
  <c r="CB72" i="34" s="1"/>
  <c r="CF72" i="34" s="1"/>
  <c r="CJ72" i="34" s="1"/>
  <c r="CN72" i="34" s="1"/>
  <c r="BE35" i="34"/>
  <c r="BI35" i="34" s="1"/>
  <c r="BM35" i="34" s="1"/>
  <c r="BQ35" i="34" s="1"/>
  <c r="BU35" i="34" s="1"/>
  <c r="BY35" i="34" s="1"/>
  <c r="CC35" i="34" s="1"/>
  <c r="CG35" i="34" s="1"/>
  <c r="CK35" i="34" s="1"/>
  <c r="CO35" i="34" s="1"/>
  <c r="BD85" i="34"/>
  <c r="BH85" i="34" s="1"/>
  <c r="BL85" i="34" s="1"/>
  <c r="BP85" i="34" s="1"/>
  <c r="BT85" i="34" s="1"/>
  <c r="BX85" i="34" s="1"/>
  <c r="CB85" i="34" s="1"/>
  <c r="CF85" i="34" s="1"/>
  <c r="CJ85" i="34" s="1"/>
  <c r="CN85" i="34" s="1"/>
  <c r="BD102" i="34"/>
  <c r="BH102" i="34" s="1"/>
  <c r="BL102" i="34" s="1"/>
  <c r="BP102" i="34" s="1"/>
  <c r="BT102" i="34" s="1"/>
  <c r="BX102" i="34" s="1"/>
  <c r="CB102" i="34" s="1"/>
  <c r="CF102" i="34" s="1"/>
  <c r="CJ102" i="34" s="1"/>
  <c r="CN102" i="34" s="1"/>
  <c r="BD86" i="34"/>
  <c r="BH86" i="34" s="1"/>
  <c r="BL86" i="34" s="1"/>
  <c r="BP86" i="34" s="1"/>
  <c r="BT86" i="34" s="1"/>
  <c r="BX86" i="34" s="1"/>
  <c r="CB86" i="34" s="1"/>
  <c r="CF86" i="34" s="1"/>
  <c r="CJ86" i="34" s="1"/>
  <c r="CN86" i="34" s="1"/>
  <c r="BD90" i="34"/>
  <c r="BH90" i="34" s="1"/>
  <c r="BL90" i="34" s="1"/>
  <c r="BP90" i="34" s="1"/>
  <c r="BT90" i="34" s="1"/>
  <c r="BX90" i="34" s="1"/>
  <c r="CB90" i="34" s="1"/>
  <c r="CF90" i="34" s="1"/>
  <c r="CJ90" i="34" s="1"/>
  <c r="CN90" i="34" s="1"/>
  <c r="BD94" i="34"/>
  <c r="BH94" i="34" s="1"/>
  <c r="BL94" i="34" s="1"/>
  <c r="BP94" i="34" s="1"/>
  <c r="BT94" i="34" s="1"/>
  <c r="BX94" i="34" s="1"/>
  <c r="CB94" i="34" s="1"/>
  <c r="CF94" i="34" s="1"/>
  <c r="CJ94" i="34" s="1"/>
  <c r="CN94" i="34" s="1"/>
  <c r="BO100" i="33"/>
  <c r="BN100" i="33"/>
  <c r="BE68" i="36" l="1"/>
  <c r="AW68" i="36" s="1"/>
  <c r="BE71" i="36"/>
  <c r="AW71" i="36" s="1"/>
  <c r="H23" i="36"/>
  <c r="L23" i="36" s="1"/>
  <c r="P23" i="36" s="1"/>
  <c r="T23" i="36" s="1"/>
  <c r="X23" i="36" s="1"/>
  <c r="AB23" i="36" s="1"/>
  <c r="AF23" i="36" s="1"/>
  <c r="AJ23" i="36" s="1"/>
  <c r="AN23" i="36" s="1"/>
  <c r="AR23" i="36" s="1"/>
  <c r="BD23" i="36" s="1"/>
  <c r="AV23" i="36" s="1"/>
  <c r="H95" i="36"/>
  <c r="L95" i="36" s="1"/>
  <c r="P95" i="36" s="1"/>
  <c r="T95" i="36" s="1"/>
  <c r="X95" i="36" s="1"/>
  <c r="AB95" i="36" s="1"/>
  <c r="AF95" i="36" s="1"/>
  <c r="AJ95" i="36" s="1"/>
  <c r="AN95" i="36" s="1"/>
  <c r="AR95" i="36" s="1"/>
  <c r="BD95" i="36" s="1"/>
  <c r="AV95" i="36" s="1"/>
  <c r="CR90" i="34"/>
  <c r="CV90" i="34" s="1"/>
  <c r="H110" i="36"/>
  <c r="L110" i="36" s="1"/>
  <c r="P110" i="36" s="1"/>
  <c r="T110" i="36" s="1"/>
  <c r="X110" i="36" s="1"/>
  <c r="AB110" i="36" s="1"/>
  <c r="AF110" i="36" s="1"/>
  <c r="AJ110" i="36" s="1"/>
  <c r="AN110" i="36" s="1"/>
  <c r="AR110" i="36" s="1"/>
  <c r="BD110" i="36" s="1"/>
  <c r="AV110" i="36" s="1"/>
  <c r="AZ110" i="36" s="1"/>
  <c r="CR102" i="34"/>
  <c r="CV102" i="34" s="1"/>
  <c r="I37" i="36"/>
  <c r="M37" i="36" s="1"/>
  <c r="Q37" i="36" s="1"/>
  <c r="U37" i="36" s="1"/>
  <c r="Y37" i="36" s="1"/>
  <c r="AC37" i="36" s="1"/>
  <c r="AG37" i="36" s="1"/>
  <c r="AK37" i="36" s="1"/>
  <c r="AO37" i="36" s="1"/>
  <c r="AS37" i="36" s="1"/>
  <c r="BE37" i="36" s="1"/>
  <c r="AW37" i="36" s="1"/>
  <c r="BA37" i="36" s="1"/>
  <c r="CS35" i="34"/>
  <c r="CW35" i="34" s="1"/>
  <c r="H80" i="36"/>
  <c r="L80" i="36" s="1"/>
  <c r="P80" i="36" s="1"/>
  <c r="T80" i="36" s="1"/>
  <c r="X80" i="36" s="1"/>
  <c r="AB80" i="36" s="1"/>
  <c r="AF80" i="36" s="1"/>
  <c r="AJ80" i="36" s="1"/>
  <c r="AN80" i="36" s="1"/>
  <c r="AR80" i="36" s="1"/>
  <c r="AV80" i="36" s="1"/>
  <c r="AZ80" i="36" s="1"/>
  <c r="CR72" i="34"/>
  <c r="CV72" i="34" s="1"/>
  <c r="I19" i="36"/>
  <c r="M19" i="36" s="1"/>
  <c r="Q19" i="36" s="1"/>
  <c r="U19" i="36" s="1"/>
  <c r="Y19" i="36" s="1"/>
  <c r="AC19" i="36" s="1"/>
  <c r="AG19" i="36" s="1"/>
  <c r="AK19" i="36" s="1"/>
  <c r="AO19" i="36" s="1"/>
  <c r="AS19" i="36" s="1"/>
  <c r="CS17" i="34"/>
  <c r="CW17" i="34" s="1"/>
  <c r="H10" i="36"/>
  <c r="L10" i="36" s="1"/>
  <c r="P10" i="36" s="1"/>
  <c r="T10" i="36" s="1"/>
  <c r="X10" i="36" s="1"/>
  <c r="AB10" i="36" s="1"/>
  <c r="AF10" i="36" s="1"/>
  <c r="AJ10" i="36" s="1"/>
  <c r="AN10" i="36" s="1"/>
  <c r="AR10" i="36" s="1"/>
  <c r="AV10" i="36" s="1"/>
  <c r="CR9" i="34"/>
  <c r="CV9" i="34" s="1"/>
  <c r="I35" i="36"/>
  <c r="M35" i="36" s="1"/>
  <c r="Q35" i="36" s="1"/>
  <c r="U35" i="36" s="1"/>
  <c r="Y35" i="36" s="1"/>
  <c r="AC35" i="36" s="1"/>
  <c r="AG35" i="36" s="1"/>
  <c r="AK35" i="36" s="1"/>
  <c r="AO35" i="36" s="1"/>
  <c r="AS35" i="36" s="1"/>
  <c r="BE35" i="36" s="1"/>
  <c r="AW35" i="36" s="1"/>
  <c r="BA35" i="36" s="1"/>
  <c r="CS33" i="34"/>
  <c r="CW33" i="34" s="1"/>
  <c r="H96" i="36"/>
  <c r="L96" i="36" s="1"/>
  <c r="P96" i="36" s="1"/>
  <c r="T96" i="36" s="1"/>
  <c r="X96" i="36" s="1"/>
  <c r="AB96" i="36" s="1"/>
  <c r="AF96" i="36" s="1"/>
  <c r="AJ96" i="36" s="1"/>
  <c r="AN96" i="36" s="1"/>
  <c r="AR96" i="36" s="1"/>
  <c r="BD96" i="36" s="1"/>
  <c r="AV96" i="36" s="1"/>
  <c r="CR82" i="34"/>
  <c r="CV82" i="34" s="1"/>
  <c r="I63" i="36"/>
  <c r="M63" i="36" s="1"/>
  <c r="Q63" i="36" s="1"/>
  <c r="U63" i="36" s="1"/>
  <c r="Y63" i="36" s="1"/>
  <c r="AC63" i="36" s="1"/>
  <c r="AG63" i="36" s="1"/>
  <c r="AK63" i="36" s="1"/>
  <c r="AO63" i="36" s="1"/>
  <c r="AS63" i="36" s="1"/>
  <c r="AW63" i="36" s="1"/>
  <c r="BA63" i="36" s="1"/>
  <c r="CS57" i="34"/>
  <c r="CW57" i="34" s="1"/>
  <c r="I66" i="36"/>
  <c r="M66" i="36" s="1"/>
  <c r="Q66" i="36" s="1"/>
  <c r="U66" i="36" s="1"/>
  <c r="Y66" i="36" s="1"/>
  <c r="AC66" i="36" s="1"/>
  <c r="AG66" i="36" s="1"/>
  <c r="AK66" i="36" s="1"/>
  <c r="AO66" i="36" s="1"/>
  <c r="AS66" i="36" s="1"/>
  <c r="BE66" i="36" s="1"/>
  <c r="AW66" i="36" s="1"/>
  <c r="CS60" i="34"/>
  <c r="CW60" i="34" s="1"/>
  <c r="I59" i="36"/>
  <c r="M59" i="36" s="1"/>
  <c r="Q59" i="36" s="1"/>
  <c r="U59" i="36" s="1"/>
  <c r="Y59" i="36" s="1"/>
  <c r="AC59" i="36" s="1"/>
  <c r="AG59" i="36" s="1"/>
  <c r="AK59" i="36" s="1"/>
  <c r="AO59" i="36" s="1"/>
  <c r="AS59" i="36" s="1"/>
  <c r="AW59" i="36" s="1"/>
  <c r="BA59" i="36" s="1"/>
  <c r="CS55" i="34"/>
  <c r="CW55" i="34" s="1"/>
  <c r="L86" i="36"/>
  <c r="P86" i="36" s="1"/>
  <c r="T86" i="36" s="1"/>
  <c r="X86" i="36" s="1"/>
  <c r="AB86" i="36" s="1"/>
  <c r="AF86" i="36" s="1"/>
  <c r="AJ86" i="36" s="1"/>
  <c r="AN86" i="36" s="1"/>
  <c r="AR86" i="36" s="1"/>
  <c r="AV86" i="36" s="1"/>
  <c r="CR77" i="34"/>
  <c r="CV77" i="34" s="1"/>
  <c r="H18" i="36"/>
  <c r="L18" i="36" s="1"/>
  <c r="P18" i="36" s="1"/>
  <c r="T18" i="36" s="1"/>
  <c r="X18" i="36" s="1"/>
  <c r="AB18" i="36" s="1"/>
  <c r="AF18" i="36" s="1"/>
  <c r="AJ18" i="36" s="1"/>
  <c r="AN18" i="36" s="1"/>
  <c r="AR18" i="36" s="1"/>
  <c r="AV18" i="36" s="1"/>
  <c r="CR18" i="34"/>
  <c r="CV18" i="34" s="1"/>
  <c r="BE67" i="36"/>
  <c r="AW67" i="36" s="1"/>
  <c r="AW69" i="36"/>
  <c r="BA69" i="36" s="1"/>
  <c r="AW70" i="36"/>
  <c r="BA70" i="36" s="1"/>
  <c r="H102" i="36"/>
  <c r="L102" i="36" s="1"/>
  <c r="P102" i="36" s="1"/>
  <c r="T102" i="36" s="1"/>
  <c r="X102" i="36" s="1"/>
  <c r="AB102" i="36" s="1"/>
  <c r="AF102" i="36" s="1"/>
  <c r="AJ102" i="36" s="1"/>
  <c r="AN102" i="36" s="1"/>
  <c r="AR102" i="36" s="1"/>
  <c r="BD102" i="36" s="1"/>
  <c r="AV102" i="36" s="1"/>
  <c r="CR94" i="34"/>
  <c r="CV94" i="34" s="1"/>
  <c r="H91" i="36"/>
  <c r="L91" i="36" s="1"/>
  <c r="P91" i="36" s="1"/>
  <c r="T91" i="36" s="1"/>
  <c r="X91" i="36" s="1"/>
  <c r="AB91" i="36" s="1"/>
  <c r="AF91" i="36" s="1"/>
  <c r="AJ91" i="36" s="1"/>
  <c r="AN91" i="36" s="1"/>
  <c r="AR91" i="36" s="1"/>
  <c r="AV91" i="36" s="1"/>
  <c r="AZ91" i="36" s="1"/>
  <c r="CR86" i="34"/>
  <c r="CV86" i="34" s="1"/>
  <c r="H99" i="36"/>
  <c r="L99" i="36" s="1"/>
  <c r="P99" i="36" s="1"/>
  <c r="T99" i="36" s="1"/>
  <c r="X99" i="36" s="1"/>
  <c r="AB99" i="36" s="1"/>
  <c r="AF99" i="36" s="1"/>
  <c r="AJ99" i="36" s="1"/>
  <c r="AN99" i="36" s="1"/>
  <c r="AR99" i="36" s="1"/>
  <c r="BD99" i="36" s="1"/>
  <c r="AV99" i="36" s="1"/>
  <c r="CR85" i="34"/>
  <c r="CV85" i="34" s="1"/>
  <c r="I33" i="36"/>
  <c r="M33" i="36" s="1"/>
  <c r="Q33" i="36" s="1"/>
  <c r="U33" i="36" s="1"/>
  <c r="Y33" i="36" s="1"/>
  <c r="AC33" i="36" s="1"/>
  <c r="AG33" i="36" s="1"/>
  <c r="AK33" i="36" s="1"/>
  <c r="AO33" i="36" s="1"/>
  <c r="AS33" i="36" s="1"/>
  <c r="BE33" i="36" s="1"/>
  <c r="AW33" i="36" s="1"/>
  <c r="BA33" i="36" s="1"/>
  <c r="CS31" i="34"/>
  <c r="CW31" i="34" s="1"/>
  <c r="H11" i="36"/>
  <c r="L11" i="36" s="1"/>
  <c r="P11" i="36" s="1"/>
  <c r="T11" i="36" s="1"/>
  <c r="X11" i="36" s="1"/>
  <c r="AB11" i="36" s="1"/>
  <c r="AF11" i="36" s="1"/>
  <c r="AJ11" i="36" s="1"/>
  <c r="AN11" i="36" s="1"/>
  <c r="AR11" i="36" s="1"/>
  <c r="AV11" i="36" s="1"/>
  <c r="AZ11" i="36" s="1"/>
  <c r="CR10" i="34"/>
  <c r="CV10" i="34" s="1"/>
  <c r="I54" i="36"/>
  <c r="M54" i="36" s="1"/>
  <c r="Q54" i="36" s="1"/>
  <c r="U54" i="36" s="1"/>
  <c r="Y54" i="36" s="1"/>
  <c r="AC54" i="36" s="1"/>
  <c r="AG54" i="36" s="1"/>
  <c r="AK54" i="36" s="1"/>
  <c r="AO54" i="36" s="1"/>
  <c r="AS54" i="36" s="1"/>
  <c r="BE54" i="36" s="1"/>
  <c r="AW54" i="36" s="1"/>
  <c r="BA54" i="36" s="1"/>
  <c r="CS50" i="34"/>
  <c r="CW50" i="34" s="1"/>
  <c r="H28" i="36"/>
  <c r="L28" i="36" s="1"/>
  <c r="P28" i="36" s="1"/>
  <c r="T28" i="36" s="1"/>
  <c r="X28" i="36" s="1"/>
  <c r="AB28" i="36" s="1"/>
  <c r="AF28" i="36" s="1"/>
  <c r="AJ28" i="36" s="1"/>
  <c r="AN28" i="36" s="1"/>
  <c r="AR28" i="36" s="1"/>
  <c r="CR27" i="34"/>
  <c r="CV27" i="34" s="1"/>
  <c r="CR19" i="34"/>
  <c r="CV19" i="34" s="1"/>
  <c r="CR13" i="34"/>
  <c r="H78" i="36"/>
  <c r="L78" i="36" s="1"/>
  <c r="P78" i="36" s="1"/>
  <c r="T78" i="36" s="1"/>
  <c r="X78" i="36" s="1"/>
  <c r="AB78" i="36" s="1"/>
  <c r="AF78" i="36" s="1"/>
  <c r="AJ78" i="36" s="1"/>
  <c r="AN78" i="36" s="1"/>
  <c r="AR78" i="36" s="1"/>
  <c r="BD78" i="36" s="1"/>
  <c r="AV78" i="36" s="1"/>
  <c r="AZ78" i="36" s="1"/>
  <c r="CR71" i="34"/>
  <c r="CV71" i="34" s="1"/>
  <c r="L36" i="36"/>
  <c r="P36" i="36" s="1"/>
  <c r="T36" i="36" s="1"/>
  <c r="X36" i="36" s="1"/>
  <c r="AB36" i="36" s="1"/>
  <c r="AF36" i="36" s="1"/>
  <c r="AJ36" i="36" s="1"/>
  <c r="AN36" i="36" s="1"/>
  <c r="AR36" i="36" s="1"/>
  <c r="AV36" i="36" s="1"/>
  <c r="AZ36" i="36" s="1"/>
  <c r="CR34" i="34"/>
  <c r="CV34" i="34" s="1"/>
  <c r="H75" i="36"/>
  <c r="L75" i="36" s="1"/>
  <c r="P75" i="36" s="1"/>
  <c r="T75" i="36" s="1"/>
  <c r="X75" i="36" s="1"/>
  <c r="AB75" i="36" s="1"/>
  <c r="AF75" i="36" s="1"/>
  <c r="AJ75" i="36" s="1"/>
  <c r="AN75" i="36" s="1"/>
  <c r="AR75" i="36" s="1"/>
  <c r="AV75" i="36" s="1"/>
  <c r="AZ75" i="36" s="1"/>
  <c r="CR68" i="34"/>
  <c r="CV68" i="34" s="1"/>
  <c r="H85" i="36"/>
  <c r="L85" i="36" s="1"/>
  <c r="P85" i="36" s="1"/>
  <c r="T85" i="36" s="1"/>
  <c r="X85" i="36" s="1"/>
  <c r="AB85" i="36" s="1"/>
  <c r="AF85" i="36" s="1"/>
  <c r="AJ85" i="36" s="1"/>
  <c r="AN85" i="36" s="1"/>
  <c r="AR85" i="36" s="1"/>
  <c r="CR76" i="34"/>
  <c r="CV76" i="34" s="1"/>
  <c r="I64" i="36"/>
  <c r="M64" i="36" s="1"/>
  <c r="Q64" i="36" s="1"/>
  <c r="U64" i="36" s="1"/>
  <c r="Y64" i="36" s="1"/>
  <c r="AC64" i="36" s="1"/>
  <c r="AG64" i="36" s="1"/>
  <c r="AK64" i="36" s="1"/>
  <c r="AO64" i="36" s="1"/>
  <c r="AS64" i="36" s="1"/>
  <c r="AW64" i="36" s="1"/>
  <c r="BA64" i="36" s="1"/>
  <c r="CS58" i="34"/>
  <c r="CW58" i="34" s="1"/>
  <c r="H77" i="36"/>
  <c r="L77" i="36" s="1"/>
  <c r="P77" i="36" s="1"/>
  <c r="T77" i="36" s="1"/>
  <c r="X77" i="36" s="1"/>
  <c r="AB77" i="36" s="1"/>
  <c r="AF77" i="36" s="1"/>
  <c r="AJ77" i="36" s="1"/>
  <c r="AN77" i="36" s="1"/>
  <c r="AR77" i="36" s="1"/>
  <c r="AV77" i="36" s="1"/>
  <c r="AZ77" i="36" s="1"/>
  <c r="CR70" i="34"/>
  <c r="CV70" i="34" s="1"/>
  <c r="H73" i="36"/>
  <c r="L73" i="36" s="1"/>
  <c r="P73" i="36" s="1"/>
  <c r="T73" i="36" s="1"/>
  <c r="X73" i="36" s="1"/>
  <c r="AB73" i="36" s="1"/>
  <c r="AF73" i="36" s="1"/>
  <c r="AJ73" i="36" s="1"/>
  <c r="AN73" i="36" s="1"/>
  <c r="AR73" i="36" s="1"/>
  <c r="BD73" i="36" s="1"/>
  <c r="CR66" i="34"/>
  <c r="CV66" i="34" s="1"/>
  <c r="I61" i="36"/>
  <c r="M61" i="36" s="1"/>
  <c r="Q61" i="36" s="1"/>
  <c r="U61" i="36" s="1"/>
  <c r="Y61" i="36" s="1"/>
  <c r="AC61" i="36" s="1"/>
  <c r="AG61" i="36" s="1"/>
  <c r="AK61" i="36" s="1"/>
  <c r="AO61" i="36" s="1"/>
  <c r="AS61" i="36" s="1"/>
  <c r="AW61" i="36" s="1"/>
  <c r="BA61" i="36" s="1"/>
  <c r="CS56" i="34"/>
  <c r="CW56" i="34" s="1"/>
  <c r="H89" i="36"/>
  <c r="L89" i="36" s="1"/>
  <c r="P89" i="36" s="1"/>
  <c r="T89" i="36" s="1"/>
  <c r="X89" i="36" s="1"/>
  <c r="AB89" i="36" s="1"/>
  <c r="AF89" i="36" s="1"/>
  <c r="AJ89" i="36" s="1"/>
  <c r="AN89" i="36" s="1"/>
  <c r="AR89" i="36" s="1"/>
  <c r="BD89" i="36" s="1"/>
  <c r="AV89" i="36" s="1"/>
  <c r="AZ89" i="36" s="1"/>
  <c r="CR80" i="34"/>
  <c r="CV80" i="34" s="1"/>
  <c r="H76" i="36"/>
  <c r="L76" i="36" s="1"/>
  <c r="P76" i="36" s="1"/>
  <c r="T76" i="36" s="1"/>
  <c r="X76" i="36" s="1"/>
  <c r="AB76" i="36" s="1"/>
  <c r="AF76" i="36" s="1"/>
  <c r="AJ76" i="36" s="1"/>
  <c r="AN76" i="36" s="1"/>
  <c r="AR76" i="36" s="1"/>
  <c r="AV76" i="36" s="1"/>
  <c r="AZ76" i="36" s="1"/>
  <c r="CR69" i="34"/>
  <c r="CV69" i="34" s="1"/>
  <c r="CV17" i="34"/>
  <c r="CV39" i="34"/>
  <c r="CV41" i="34"/>
  <c r="CV43" i="34"/>
  <c r="CV46" i="34"/>
  <c r="CV48" i="34"/>
  <c r="CV62" i="34"/>
  <c r="CV37" i="34"/>
  <c r="CV12" i="34"/>
  <c r="CV42" i="34"/>
  <c r="CV44" i="34"/>
  <c r="CV47" i="34"/>
  <c r="CV61" i="34"/>
  <c r="CV65" i="34"/>
  <c r="CV35" i="34"/>
  <c r="CV38" i="34"/>
  <c r="CV21" i="34"/>
  <c r="CV22" i="34"/>
  <c r="CW61" i="34"/>
  <c r="CV87" i="34"/>
  <c r="CV89" i="34"/>
  <c r="CV101" i="34"/>
  <c r="CV31" i="34"/>
  <c r="CW65" i="34"/>
  <c r="CV67" i="34"/>
  <c r="CV78" i="34"/>
  <c r="CV79" i="34"/>
  <c r="CV33" i="34"/>
  <c r="AV84" i="36"/>
  <c r="AZ84" i="36" s="1"/>
  <c r="BD87" i="36"/>
  <c r="AV87" i="36" s="1"/>
  <c r="D35" i="36"/>
  <c r="H35" i="36" s="1"/>
  <c r="L35" i="36" s="1"/>
  <c r="P35" i="36" s="1"/>
  <c r="T35" i="36" s="1"/>
  <c r="X35" i="36" s="1"/>
  <c r="AB35" i="36" s="1"/>
  <c r="AF35" i="36" s="1"/>
  <c r="AJ35" i="36" s="1"/>
  <c r="AN35" i="36" s="1"/>
  <c r="AR35" i="36" s="1"/>
  <c r="L29" i="36"/>
  <c r="P29" i="36" s="1"/>
  <c r="T29" i="36" s="1"/>
  <c r="X29" i="36" s="1"/>
  <c r="AB29" i="36" s="1"/>
  <c r="AF29" i="36" s="1"/>
  <c r="AJ29" i="36" s="1"/>
  <c r="AN29" i="36" s="1"/>
  <c r="AR29" i="36" s="1"/>
  <c r="AV29" i="36" s="1"/>
  <c r="AZ29" i="36" s="1"/>
  <c r="I53" i="36"/>
  <c r="M53" i="36" s="1"/>
  <c r="Q53" i="36" s="1"/>
  <c r="U53" i="36" s="1"/>
  <c r="Y53" i="36" s="1"/>
  <c r="AC53" i="36" s="1"/>
  <c r="AG53" i="36" s="1"/>
  <c r="AK53" i="36" s="1"/>
  <c r="AO53" i="36" s="1"/>
  <c r="AS53" i="36" s="1"/>
  <c r="AW53" i="36" s="1"/>
  <c r="BA53" i="36" s="1"/>
  <c r="D19" i="36"/>
  <c r="BK100" i="33"/>
  <c r="BJ100" i="33"/>
  <c r="CV13" i="34" l="1"/>
  <c r="BD85" i="36"/>
  <c r="AV85" i="36" s="1"/>
  <c r="D14" i="36"/>
  <c r="H14" i="36" s="1"/>
  <c r="L14" i="36" s="1"/>
  <c r="P14" i="36" s="1"/>
  <c r="T14" i="36" s="1"/>
  <c r="X14" i="36" s="1"/>
  <c r="AB14" i="36" s="1"/>
  <c r="AF14" i="36" s="1"/>
  <c r="AJ14" i="36" s="1"/>
  <c r="AN14" i="36" s="1"/>
  <c r="AR14" i="36" s="1"/>
  <c r="BD14" i="36" s="1"/>
  <c r="AV14" i="36" s="1"/>
  <c r="D20" i="36"/>
  <c r="H19" i="36"/>
  <c r="L19" i="36" s="1"/>
  <c r="P19" i="36" s="1"/>
  <c r="BB19" i="36"/>
  <c r="BG100" i="33"/>
  <c r="BF100" i="33"/>
  <c r="H20" i="36" l="1"/>
  <c r="L20" i="36" s="1"/>
  <c r="P20" i="36" s="1"/>
  <c r="T20" i="36" s="1"/>
  <c r="X20" i="36" s="1"/>
  <c r="AB20" i="36" s="1"/>
  <c r="AF20" i="36" s="1"/>
  <c r="AJ20" i="36" s="1"/>
  <c r="AN20" i="36" s="1"/>
  <c r="AR20" i="36" s="1"/>
  <c r="BD20" i="36" s="1"/>
  <c r="AV20" i="36" s="1"/>
  <c r="BB20" i="36"/>
  <c r="BE19" i="36"/>
  <c r="AW19" i="36" s="1"/>
  <c r="BA19" i="36" s="1"/>
  <c r="E21" i="33"/>
  <c r="BC100" i="33"/>
  <c r="BB100" i="33"/>
  <c r="AT8" i="33"/>
  <c r="F8" i="33"/>
  <c r="AX8" i="33"/>
  <c r="H9" i="36" l="1"/>
  <c r="L9" i="36" s="1"/>
  <c r="P9" i="36" s="1"/>
  <c r="T9" i="36" s="1"/>
  <c r="X9" i="36" s="1"/>
  <c r="AB9" i="36" s="1"/>
  <c r="AF9" i="36" s="1"/>
  <c r="AJ9" i="36" s="1"/>
  <c r="AN9" i="36" s="1"/>
  <c r="AR9" i="36" s="1"/>
  <c r="AV9" i="36" s="1"/>
  <c r="AZ9" i="36" s="1"/>
  <c r="AU13" i="33"/>
  <c r="AQ45" i="33"/>
  <c r="AR12" i="33"/>
  <c r="AV12" i="33" s="1"/>
  <c r="AZ12" i="33" s="1"/>
  <c r="BD12" i="33" s="1"/>
  <c r="BH12" i="33" s="1"/>
  <c r="BL12" i="33" s="1"/>
  <c r="BP12" i="33" s="1"/>
  <c r="AP13" i="33"/>
  <c r="AR13" i="33" s="1"/>
  <c r="AV13" i="33" l="1"/>
  <c r="AZ13" i="33" s="1"/>
  <c r="BD13" i="33" s="1"/>
  <c r="BH13" i="33" s="1"/>
  <c r="BL13" i="33" s="1"/>
  <c r="BP13" i="33" s="1"/>
  <c r="AU57" i="33"/>
  <c r="AQ57" i="33"/>
  <c r="J17" i="33" l="1"/>
  <c r="N17" i="33"/>
  <c r="N15" i="33"/>
  <c r="H17" i="33"/>
  <c r="F15" i="33"/>
  <c r="L17" i="33" l="1"/>
  <c r="P17" i="33" s="1"/>
  <c r="T17" i="33" s="1"/>
  <c r="X17" i="33" s="1"/>
  <c r="AB17" i="33" s="1"/>
  <c r="AF17" i="33" s="1"/>
  <c r="AJ17" i="33" s="1"/>
  <c r="AN17" i="33" s="1"/>
  <c r="AR17" i="33" s="1"/>
  <c r="AV17" i="33" s="1"/>
  <c r="AZ17" i="33" s="1"/>
  <c r="BD17" i="33" s="1"/>
  <c r="BH17" i="33" s="1"/>
  <c r="BL17" i="33" s="1"/>
  <c r="BP17" i="33" s="1"/>
  <c r="AF29" i="33" l="1"/>
  <c r="AJ29" i="33" s="1"/>
  <c r="AN29" i="33" s="1"/>
  <c r="AX69" i="33" l="1"/>
  <c r="AX68" i="33"/>
  <c r="AY37" i="33"/>
  <c r="AX37" i="33"/>
  <c r="AY49" i="33"/>
  <c r="AX49" i="33"/>
  <c r="AY35" i="33"/>
  <c r="AY55" i="33"/>
  <c r="AY54" i="33"/>
  <c r="AY33" i="33"/>
  <c r="AX30" i="33"/>
  <c r="AY30" i="33"/>
  <c r="AY7" i="33"/>
  <c r="AX7" i="33"/>
  <c r="BE36" i="34" l="1"/>
  <c r="BI36" i="34" s="1"/>
  <c r="BM36" i="34" s="1"/>
  <c r="BQ36" i="34" s="1"/>
  <c r="BU36" i="34" s="1"/>
  <c r="BY36" i="34" s="1"/>
  <c r="CC36" i="34" s="1"/>
  <c r="CG36" i="34" s="1"/>
  <c r="AT7" i="33"/>
  <c r="CK36" i="34" l="1"/>
  <c r="AT37" i="33"/>
  <c r="AU7" i="33"/>
  <c r="CC100" i="33"/>
  <c r="BS100" i="33"/>
  <c r="BR100" i="33"/>
  <c r="AY100" i="33"/>
  <c r="AX100" i="33"/>
  <c r="AP100" i="33"/>
  <c r="CG99" i="33"/>
  <c r="AR99" i="33"/>
  <c r="AV99" i="33" s="1"/>
  <c r="AJ99" i="33"/>
  <c r="P99" i="33"/>
  <c r="T99" i="33" s="1"/>
  <c r="X99" i="33" s="1"/>
  <c r="I99" i="33"/>
  <c r="M99" i="33" s="1"/>
  <c r="Q99" i="33" s="1"/>
  <c r="U99" i="33" s="1"/>
  <c r="Y99" i="33" s="1"/>
  <c r="AC99" i="33" s="1"/>
  <c r="AG99" i="33" s="1"/>
  <c r="AK99" i="33" s="1"/>
  <c r="AO99" i="33" s="1"/>
  <c r="AS99" i="33" s="1"/>
  <c r="AW99" i="33" s="1"/>
  <c r="BA99" i="33" s="1"/>
  <c r="BE99" i="33" s="1"/>
  <c r="BI99" i="33" s="1"/>
  <c r="BM99" i="33" s="1"/>
  <c r="BQ99" i="33" s="1"/>
  <c r="D99" i="33"/>
  <c r="H99" i="33" s="1"/>
  <c r="CD98" i="33"/>
  <c r="AS98" i="33"/>
  <c r="E98" i="33"/>
  <c r="D98" i="33"/>
  <c r="H98" i="33" s="1"/>
  <c r="L98" i="33" s="1"/>
  <c r="P98" i="33" s="1"/>
  <c r="T98" i="33" s="1"/>
  <c r="X98" i="33" s="1"/>
  <c r="AB98" i="33" s="1"/>
  <c r="AF98" i="33" s="1"/>
  <c r="AJ98" i="33" s="1"/>
  <c r="AN98" i="33" s="1"/>
  <c r="AR98" i="33" s="1"/>
  <c r="AV98" i="33" s="1"/>
  <c r="AZ98" i="33" s="1"/>
  <c r="BD98" i="33" s="1"/>
  <c r="BH98" i="33" s="1"/>
  <c r="BL98" i="33" s="1"/>
  <c r="BP98" i="33" s="1"/>
  <c r="CF97" i="33"/>
  <c r="AS97" i="33"/>
  <c r="E97" i="33"/>
  <c r="CE96" i="33"/>
  <c r="CA96" i="33"/>
  <c r="AS96" i="33"/>
  <c r="E96" i="33"/>
  <c r="D96" i="33"/>
  <c r="H96" i="33" s="1"/>
  <c r="L96" i="33" s="1"/>
  <c r="P96" i="33" s="1"/>
  <c r="T96" i="33" s="1"/>
  <c r="X96" i="33" s="1"/>
  <c r="AB96" i="33" s="1"/>
  <c r="AF96" i="33" s="1"/>
  <c r="AJ96" i="33" s="1"/>
  <c r="AN96" i="33" s="1"/>
  <c r="AR96" i="33" s="1"/>
  <c r="AV96" i="33" s="1"/>
  <c r="AZ96" i="33" s="1"/>
  <c r="BD96" i="33" s="1"/>
  <c r="BH96" i="33" s="1"/>
  <c r="BL96" i="33" s="1"/>
  <c r="BP96" i="33" s="1"/>
  <c r="AS95" i="33"/>
  <c r="E95" i="33"/>
  <c r="D95" i="33"/>
  <c r="BT95" i="33" s="1"/>
  <c r="BZ95" i="33" s="1"/>
  <c r="CD95" i="33" s="1"/>
  <c r="CA94" i="33"/>
  <c r="CE94" i="33" s="1"/>
  <c r="AS94" i="33"/>
  <c r="E94" i="33"/>
  <c r="D94" i="33"/>
  <c r="H94" i="33" s="1"/>
  <c r="L94" i="33" s="1"/>
  <c r="P94" i="33" s="1"/>
  <c r="T94" i="33" s="1"/>
  <c r="X94" i="33" s="1"/>
  <c r="AB94" i="33" s="1"/>
  <c r="AF94" i="33" s="1"/>
  <c r="AJ94" i="33" s="1"/>
  <c r="AN94" i="33" s="1"/>
  <c r="AR94" i="33" s="1"/>
  <c r="AV94" i="33" s="1"/>
  <c r="AZ94" i="33" s="1"/>
  <c r="BD94" i="33" s="1"/>
  <c r="BH94" i="33" s="1"/>
  <c r="BL94" i="33" s="1"/>
  <c r="BP94" i="33" s="1"/>
  <c r="BY93" i="33"/>
  <c r="CA93" i="33" s="1"/>
  <c r="CE93" i="33" s="1"/>
  <c r="AS93" i="33"/>
  <c r="E93" i="33"/>
  <c r="D93" i="33"/>
  <c r="H93" i="33" s="1"/>
  <c r="L93" i="33" s="1"/>
  <c r="P93" i="33" s="1"/>
  <c r="T93" i="33" s="1"/>
  <c r="X93" i="33" s="1"/>
  <c r="AB93" i="33" s="1"/>
  <c r="AF93" i="33" s="1"/>
  <c r="AJ93" i="33" s="1"/>
  <c r="AN93" i="33" s="1"/>
  <c r="AR93" i="33" s="1"/>
  <c r="AV93" i="33" s="1"/>
  <c r="AZ93" i="33" s="1"/>
  <c r="BD93" i="33" s="1"/>
  <c r="BH93" i="33" s="1"/>
  <c r="BL93" i="33" s="1"/>
  <c r="BP93" i="33" s="1"/>
  <c r="CD92" i="33"/>
  <c r="CA92" i="33"/>
  <c r="CE92" i="33" s="1"/>
  <c r="AS92" i="33"/>
  <c r="E92" i="33"/>
  <c r="D92" i="33"/>
  <c r="BT92" i="33" s="1"/>
  <c r="CD91" i="33"/>
  <c r="CA91" i="33"/>
  <c r="CE91" i="33" s="1"/>
  <c r="AS91" i="33"/>
  <c r="E91" i="33"/>
  <c r="D91" i="33"/>
  <c r="BT91" i="33" s="1"/>
  <c r="AS90" i="33"/>
  <c r="H90" i="33"/>
  <c r="L90" i="33" s="1"/>
  <c r="P90" i="33" s="1"/>
  <c r="T90" i="33" s="1"/>
  <c r="X90" i="33" s="1"/>
  <c r="AB90" i="33" s="1"/>
  <c r="AF90" i="33" s="1"/>
  <c r="AJ90" i="33" s="1"/>
  <c r="AN90" i="33" s="1"/>
  <c r="AR90" i="33" s="1"/>
  <c r="AV90" i="33" s="1"/>
  <c r="AZ90" i="33" s="1"/>
  <c r="BD90" i="33" s="1"/>
  <c r="BH90" i="33" s="1"/>
  <c r="BL90" i="33" s="1"/>
  <c r="BP90" i="33" s="1"/>
  <c r="AS88" i="33"/>
  <c r="E88" i="33"/>
  <c r="D88" i="33"/>
  <c r="BT88" i="33" s="1"/>
  <c r="BZ88" i="33" s="1"/>
  <c r="CD88" i="33" s="1"/>
  <c r="AS87" i="33"/>
  <c r="E87" i="33"/>
  <c r="D87" i="33"/>
  <c r="BT87" i="33" s="1"/>
  <c r="BZ87" i="33" s="1"/>
  <c r="CB87" i="33" s="1"/>
  <c r="AS86" i="33"/>
  <c r="E86" i="33"/>
  <c r="D86" i="33"/>
  <c r="BT86" i="33" s="1"/>
  <c r="BZ86" i="33" s="1"/>
  <c r="CD86" i="33" s="1"/>
  <c r="AS85" i="33"/>
  <c r="E85" i="33"/>
  <c r="D85" i="33"/>
  <c r="BT85" i="33" s="1"/>
  <c r="BZ85" i="33" s="1"/>
  <c r="CD85" i="33" s="1"/>
  <c r="BY84" i="33"/>
  <c r="AS84" i="33"/>
  <c r="N84" i="33"/>
  <c r="E84" i="33"/>
  <c r="D84" i="33"/>
  <c r="H84" i="33" s="1"/>
  <c r="L84" i="33" s="1"/>
  <c r="P84" i="33" s="1"/>
  <c r="T84" i="33" s="1"/>
  <c r="X84" i="33" s="1"/>
  <c r="AB84" i="33" s="1"/>
  <c r="AF84" i="33" s="1"/>
  <c r="AJ84" i="33" s="1"/>
  <c r="AN84" i="33" s="1"/>
  <c r="AR84" i="33" s="1"/>
  <c r="AV84" i="33" s="1"/>
  <c r="AZ84" i="33" s="1"/>
  <c r="BD84" i="33" s="1"/>
  <c r="BH84" i="33" s="1"/>
  <c r="BL84" i="33" s="1"/>
  <c r="BP84" i="33" s="1"/>
  <c r="AS83" i="33"/>
  <c r="E83" i="33"/>
  <c r="D83" i="33"/>
  <c r="BT83" i="33" s="1"/>
  <c r="BZ83" i="33" s="1"/>
  <c r="AS82" i="33"/>
  <c r="E82" i="33"/>
  <c r="D82" i="33"/>
  <c r="BT82" i="33" s="1"/>
  <c r="BZ82" i="33" s="1"/>
  <c r="AS81" i="33"/>
  <c r="E81" i="33"/>
  <c r="D81" i="33"/>
  <c r="BT81" i="33" s="1"/>
  <c r="BZ81" i="33" s="1"/>
  <c r="CD81" i="33" s="1"/>
  <c r="AS80" i="33"/>
  <c r="E80" i="33"/>
  <c r="D80" i="33"/>
  <c r="BT80" i="33" s="1"/>
  <c r="BZ80" i="33" s="1"/>
  <c r="CD80" i="33" s="1"/>
  <c r="AS79" i="33"/>
  <c r="E79" i="33"/>
  <c r="D79" i="33"/>
  <c r="BT79" i="33" s="1"/>
  <c r="BZ79" i="33" s="1"/>
  <c r="CD79" i="33" s="1"/>
  <c r="CA78" i="33"/>
  <c r="AS78" i="33"/>
  <c r="AH78" i="33"/>
  <c r="E78" i="33"/>
  <c r="D78" i="33"/>
  <c r="H78" i="33" s="1"/>
  <c r="L78" i="33" s="1"/>
  <c r="P78" i="33" s="1"/>
  <c r="T78" i="33" s="1"/>
  <c r="X78" i="33" s="1"/>
  <c r="AB78" i="33" s="1"/>
  <c r="AF78" i="33" s="1"/>
  <c r="AJ78" i="33" s="1"/>
  <c r="AN78" i="33" s="1"/>
  <c r="AR78" i="33" s="1"/>
  <c r="AV78" i="33" s="1"/>
  <c r="AZ78" i="33" s="1"/>
  <c r="BD78" i="33" s="1"/>
  <c r="BH78" i="33" s="1"/>
  <c r="BL78" i="33" s="1"/>
  <c r="BP78" i="33" s="1"/>
  <c r="AS77" i="33"/>
  <c r="AJ77" i="33"/>
  <c r="AN77" i="33" s="1"/>
  <c r="AR77" i="33" s="1"/>
  <c r="AV77" i="33" s="1"/>
  <c r="AZ77" i="33" s="1"/>
  <c r="BD77" i="33" s="1"/>
  <c r="BH77" i="33" s="1"/>
  <c r="BL77" i="33" s="1"/>
  <c r="BP77" i="33" s="1"/>
  <c r="AS76" i="33"/>
  <c r="AJ76" i="33"/>
  <c r="AN76" i="33" s="1"/>
  <c r="AR76" i="33" s="1"/>
  <c r="AV76" i="33" s="1"/>
  <c r="AZ76" i="33" s="1"/>
  <c r="BD76" i="33" s="1"/>
  <c r="BH76" i="33" s="1"/>
  <c r="BL76" i="33" s="1"/>
  <c r="BP76" i="33" s="1"/>
  <c r="BY75" i="33"/>
  <c r="AS75" i="33"/>
  <c r="N75" i="33"/>
  <c r="E75" i="33"/>
  <c r="D75" i="33"/>
  <c r="BT75" i="33" s="1"/>
  <c r="CA74" i="33"/>
  <c r="AS74" i="33"/>
  <c r="E74" i="33"/>
  <c r="D74" i="33"/>
  <c r="BT74" i="33" s="1"/>
  <c r="BZ74" i="33" s="1"/>
  <c r="CD74" i="33" s="1"/>
  <c r="CA73" i="33"/>
  <c r="AS73" i="33"/>
  <c r="E73" i="33"/>
  <c r="D73" i="33"/>
  <c r="BT73" i="33" s="1"/>
  <c r="BZ73" i="33" s="1"/>
  <c r="CD73" i="33" s="1"/>
  <c r="CA72" i="33"/>
  <c r="AS72" i="33"/>
  <c r="E72" i="33"/>
  <c r="D72" i="33"/>
  <c r="BT72" i="33" s="1"/>
  <c r="BZ72" i="33" s="1"/>
  <c r="CD72" i="33" s="1"/>
  <c r="CA71" i="33"/>
  <c r="AS71" i="33"/>
  <c r="E71" i="33"/>
  <c r="D71" i="33"/>
  <c r="BT71" i="33" s="1"/>
  <c r="BZ71" i="33" s="1"/>
  <c r="CD71" i="33" s="1"/>
  <c r="AD70" i="33"/>
  <c r="Z70" i="33"/>
  <c r="V70" i="33"/>
  <c r="N70" i="33"/>
  <c r="E70" i="33"/>
  <c r="D70" i="33"/>
  <c r="BT70" i="33" s="1"/>
  <c r="BZ70" i="33" s="1"/>
  <c r="CD70" i="33" s="1"/>
  <c r="CA69" i="33"/>
  <c r="AT69" i="33"/>
  <c r="J69" i="33"/>
  <c r="E69" i="33"/>
  <c r="D69" i="33"/>
  <c r="H69" i="33" s="1"/>
  <c r="L69" i="33" s="1"/>
  <c r="P69" i="33" s="1"/>
  <c r="T69" i="33" s="1"/>
  <c r="X69" i="33" s="1"/>
  <c r="AB69" i="33" s="1"/>
  <c r="AF69" i="33" s="1"/>
  <c r="AJ69" i="33" s="1"/>
  <c r="AN69" i="33" s="1"/>
  <c r="AR69" i="33" s="1"/>
  <c r="AT68" i="33"/>
  <c r="AL68" i="33"/>
  <c r="AH68" i="33"/>
  <c r="AD68" i="33"/>
  <c r="Z68" i="33"/>
  <c r="V68" i="33"/>
  <c r="V100" i="33" s="1"/>
  <c r="R68" i="33"/>
  <c r="J68" i="33"/>
  <c r="H68" i="33"/>
  <c r="CA67" i="33"/>
  <c r="AD67" i="33"/>
  <c r="Z67" i="33"/>
  <c r="R67" i="33"/>
  <c r="E67" i="33"/>
  <c r="D67" i="33"/>
  <c r="H67" i="33" s="1"/>
  <c r="L67" i="33" s="1"/>
  <c r="P67" i="33" s="1"/>
  <c r="T67" i="33" s="1"/>
  <c r="X67" i="33" s="1"/>
  <c r="AS66" i="33"/>
  <c r="H66" i="33"/>
  <c r="L66" i="33" s="1"/>
  <c r="P66" i="33" s="1"/>
  <c r="T66" i="33" s="1"/>
  <c r="X66" i="33" s="1"/>
  <c r="AB66" i="33" s="1"/>
  <c r="AF66" i="33" s="1"/>
  <c r="AJ66" i="33" s="1"/>
  <c r="AN66" i="33" s="1"/>
  <c r="AR66" i="33" s="1"/>
  <c r="AV66" i="33" s="1"/>
  <c r="AZ66" i="33" s="1"/>
  <c r="BD66" i="33" s="1"/>
  <c r="BH66" i="33" s="1"/>
  <c r="BL66" i="33" s="1"/>
  <c r="BP66" i="33" s="1"/>
  <c r="CA65" i="33"/>
  <c r="AL65" i="33"/>
  <c r="AD65" i="33"/>
  <c r="E65" i="33"/>
  <c r="D65" i="33"/>
  <c r="BT65" i="33" s="1"/>
  <c r="BZ65" i="33" s="1"/>
  <c r="CB65" i="33" s="1"/>
  <c r="AS64" i="33"/>
  <c r="AW64" i="33" s="1"/>
  <c r="BA64" i="33" s="1"/>
  <c r="BE64" i="33" s="1"/>
  <c r="BI64" i="33" s="1"/>
  <c r="BM64" i="33" s="1"/>
  <c r="BQ64" i="33" s="1"/>
  <c r="AR64" i="33"/>
  <c r="AC64" i="33"/>
  <c r="AG64" i="33" s="1"/>
  <c r="AK64" i="33" s="1"/>
  <c r="M64" i="33"/>
  <c r="Q64" i="33" s="1"/>
  <c r="E64" i="33"/>
  <c r="BU64" i="33" s="1"/>
  <c r="CA64" i="33" s="1"/>
  <c r="D64" i="33"/>
  <c r="H64" i="33" s="1"/>
  <c r="AS63" i="33"/>
  <c r="AW63" i="33" s="1"/>
  <c r="BA63" i="33" s="1"/>
  <c r="BE63" i="33" s="1"/>
  <c r="BI63" i="33" s="1"/>
  <c r="BM63" i="33" s="1"/>
  <c r="BQ63" i="33" s="1"/>
  <c r="AR63" i="33"/>
  <c r="AC63" i="33"/>
  <c r="AG63" i="33" s="1"/>
  <c r="AK63" i="33" s="1"/>
  <c r="M63" i="33"/>
  <c r="Q63" i="33" s="1"/>
  <c r="U63" i="33" s="1"/>
  <c r="E63" i="33"/>
  <c r="BU63" i="33" s="1"/>
  <c r="CA63" i="33" s="1"/>
  <c r="D63" i="33"/>
  <c r="H63" i="33" s="1"/>
  <c r="AR62" i="33"/>
  <c r="M62" i="33"/>
  <c r="Q62" i="33" s="1"/>
  <c r="U62" i="33" s="1"/>
  <c r="Y62" i="33" s="1"/>
  <c r="AC62" i="33" s="1"/>
  <c r="AG62" i="33" s="1"/>
  <c r="AK62" i="33" s="1"/>
  <c r="AO62" i="33" s="1"/>
  <c r="AS62" i="33" s="1"/>
  <c r="AW62" i="33" s="1"/>
  <c r="BA62" i="33" s="1"/>
  <c r="BE62" i="33" s="1"/>
  <c r="BI62" i="33" s="1"/>
  <c r="BM62" i="33" s="1"/>
  <c r="BQ62" i="33" s="1"/>
  <c r="E62" i="33"/>
  <c r="BU62" i="33" s="1"/>
  <c r="CA62" i="33" s="1"/>
  <c r="CE62" i="33" s="1"/>
  <c r="D62" i="33"/>
  <c r="H62" i="33" s="1"/>
  <c r="AR61" i="33"/>
  <c r="I61" i="33"/>
  <c r="M61" i="33" s="1"/>
  <c r="Q61" i="33" s="1"/>
  <c r="U61" i="33" s="1"/>
  <c r="Y61" i="33" s="1"/>
  <c r="AC61" i="33" s="1"/>
  <c r="AG61" i="33" s="1"/>
  <c r="AK61" i="33" s="1"/>
  <c r="AO61" i="33" s="1"/>
  <c r="AS61" i="33" s="1"/>
  <c r="AW61" i="33" s="1"/>
  <c r="BA61" i="33" s="1"/>
  <c r="BE61" i="33" s="1"/>
  <c r="BI61" i="33" s="1"/>
  <c r="BM61" i="33" s="1"/>
  <c r="BQ61" i="33" s="1"/>
  <c r="E61" i="33"/>
  <c r="BU61" i="33" s="1"/>
  <c r="CA61" i="33" s="1"/>
  <c r="CE61" i="33" s="1"/>
  <c r="D61" i="33"/>
  <c r="AR60" i="33"/>
  <c r="M60" i="33"/>
  <c r="Q60" i="33" s="1"/>
  <c r="U60" i="33" s="1"/>
  <c r="Y60" i="33" s="1"/>
  <c r="AC60" i="33" s="1"/>
  <c r="AG60" i="33" s="1"/>
  <c r="AK60" i="33" s="1"/>
  <c r="AO60" i="33" s="1"/>
  <c r="AS60" i="33" s="1"/>
  <c r="AW60" i="33" s="1"/>
  <c r="BA60" i="33" s="1"/>
  <c r="BE60" i="33" s="1"/>
  <c r="BI60" i="33" s="1"/>
  <c r="BM60" i="33" s="1"/>
  <c r="BQ60" i="33" s="1"/>
  <c r="E60" i="33"/>
  <c r="BU60" i="33" s="1"/>
  <c r="CA60" i="33" s="1"/>
  <c r="CE60" i="33" s="1"/>
  <c r="D60" i="33"/>
  <c r="H60" i="33" s="1"/>
  <c r="M59" i="33"/>
  <c r="Q59" i="33" s="1"/>
  <c r="U59" i="33" s="1"/>
  <c r="Y59" i="33" s="1"/>
  <c r="AC59" i="33" s="1"/>
  <c r="AG59" i="33" s="1"/>
  <c r="AK59" i="33" s="1"/>
  <c r="AO59" i="33" s="1"/>
  <c r="AS59" i="33" s="1"/>
  <c r="AW59" i="33" s="1"/>
  <c r="BA59" i="33" s="1"/>
  <c r="BE59" i="33" s="1"/>
  <c r="BI59" i="33" s="1"/>
  <c r="BM59" i="33" s="1"/>
  <c r="BQ59" i="33" s="1"/>
  <c r="E59" i="33"/>
  <c r="BU59" i="33" s="1"/>
  <c r="CA59" i="33" s="1"/>
  <c r="CE59" i="33" s="1"/>
  <c r="D59" i="33"/>
  <c r="H59" i="33" s="1"/>
  <c r="BY58" i="33"/>
  <c r="AR58" i="33"/>
  <c r="AA58" i="33"/>
  <c r="M58" i="33"/>
  <c r="Q58" i="33" s="1"/>
  <c r="U58" i="33" s="1"/>
  <c r="Y58" i="33" s="1"/>
  <c r="E58" i="33"/>
  <c r="BU58" i="33" s="1"/>
  <c r="D58" i="33"/>
  <c r="H58" i="33" s="1"/>
  <c r="O57" i="33"/>
  <c r="K57" i="33"/>
  <c r="I57" i="33"/>
  <c r="AM56" i="33"/>
  <c r="AE56" i="33"/>
  <c r="G56" i="33"/>
  <c r="I56" i="33" s="1"/>
  <c r="M56" i="33" s="1"/>
  <c r="Q56" i="33" s="1"/>
  <c r="U56" i="33" s="1"/>
  <c r="Y56" i="33" s="1"/>
  <c r="AC56" i="33" s="1"/>
  <c r="E56" i="33"/>
  <c r="BU56" i="33" s="1"/>
  <c r="CA56" i="33" s="1"/>
  <c r="CE56" i="33" s="1"/>
  <c r="D56" i="33"/>
  <c r="BY55" i="33"/>
  <c r="AR55" i="33"/>
  <c r="AE55" i="33"/>
  <c r="M55" i="33"/>
  <c r="Q55" i="33" s="1"/>
  <c r="U55" i="33" s="1"/>
  <c r="Y55" i="33" s="1"/>
  <c r="AC55" i="33" s="1"/>
  <c r="E55" i="33"/>
  <c r="BU55" i="33" s="1"/>
  <c r="D55" i="33"/>
  <c r="H55" i="33" s="1"/>
  <c r="AU54" i="33"/>
  <c r="AM54" i="33"/>
  <c r="AE54" i="33"/>
  <c r="M54" i="33"/>
  <c r="Q54" i="33" s="1"/>
  <c r="U54" i="33" s="1"/>
  <c r="Y54" i="33" s="1"/>
  <c r="AC54" i="33" s="1"/>
  <c r="E54" i="33"/>
  <c r="BU54" i="33" s="1"/>
  <c r="CA54" i="33" s="1"/>
  <c r="CE54" i="33" s="1"/>
  <c r="D54" i="33"/>
  <c r="H54" i="33" s="1"/>
  <c r="AR53" i="33"/>
  <c r="D53" i="33"/>
  <c r="AR52" i="33"/>
  <c r="D52" i="33"/>
  <c r="AR51" i="33"/>
  <c r="D51" i="33"/>
  <c r="AR50" i="33"/>
  <c r="D50" i="33"/>
  <c r="AU49" i="33"/>
  <c r="AM49" i="33"/>
  <c r="AE49" i="33"/>
  <c r="Z49" i="33"/>
  <c r="O49" i="33"/>
  <c r="J49" i="33"/>
  <c r="D49" i="33"/>
  <c r="AR48" i="33"/>
  <c r="D48" i="33"/>
  <c r="CA47" i="33"/>
  <c r="CG47" i="33" s="1"/>
  <c r="AR47" i="33"/>
  <c r="D47" i="33"/>
  <c r="AR46" i="33"/>
  <c r="D46" i="33"/>
  <c r="AR44" i="33"/>
  <c r="W44" i="33"/>
  <c r="O44" i="33"/>
  <c r="K44" i="33"/>
  <c r="D44" i="33"/>
  <c r="D45" i="33"/>
  <c r="AR43" i="33"/>
  <c r="D43" i="33"/>
  <c r="AR42" i="33"/>
  <c r="D42" i="33"/>
  <c r="AR41" i="33"/>
  <c r="D41" i="33"/>
  <c r="AR40" i="33"/>
  <c r="D40" i="33"/>
  <c r="AR39" i="33"/>
  <c r="D39" i="33"/>
  <c r="AR38" i="33"/>
  <c r="D38" i="33"/>
  <c r="BW37" i="33"/>
  <c r="AU37" i="33"/>
  <c r="AM37" i="33"/>
  <c r="AE37" i="33"/>
  <c r="Z37" i="33"/>
  <c r="J37" i="33"/>
  <c r="D37" i="33"/>
  <c r="AR36" i="33"/>
  <c r="AV36" i="33" s="1"/>
  <c r="D36" i="33"/>
  <c r="AS35" i="33"/>
  <c r="AK35" i="33"/>
  <c r="Y35" i="33"/>
  <c r="Q35" i="33"/>
  <c r="E35" i="33"/>
  <c r="AR34" i="33"/>
  <c r="AV34" i="33" s="1"/>
  <c r="AZ34" i="33" s="1"/>
  <c r="BD34" i="33" s="1"/>
  <c r="BH34" i="33" s="1"/>
  <c r="BL34" i="33" s="1"/>
  <c r="BP34" i="33" s="1"/>
  <c r="X34" i="33"/>
  <c r="AB34" i="33" s="1"/>
  <c r="AF34" i="33" s="1"/>
  <c r="AJ34" i="33" s="1"/>
  <c r="D34" i="33"/>
  <c r="H34" i="33" s="1"/>
  <c r="BY33" i="33"/>
  <c r="BW33" i="33"/>
  <c r="AU33" i="33"/>
  <c r="AM33" i="33"/>
  <c r="AK33" i="33"/>
  <c r="AE33" i="33"/>
  <c r="Y33" i="33"/>
  <c r="E33" i="33"/>
  <c r="AR32" i="33"/>
  <c r="AV32" i="33" s="1"/>
  <c r="AZ32" i="33" s="1"/>
  <c r="BD32" i="33" s="1"/>
  <c r="BH32" i="33" s="1"/>
  <c r="BL32" i="33" s="1"/>
  <c r="BP32" i="33" s="1"/>
  <c r="X32" i="33"/>
  <c r="AB32" i="33" s="1"/>
  <c r="AF32" i="33" s="1"/>
  <c r="AJ32" i="33" s="1"/>
  <c r="D32" i="33"/>
  <c r="H32" i="33" s="1"/>
  <c r="AS31" i="33"/>
  <c r="AK31" i="33"/>
  <c r="E31" i="33"/>
  <c r="AU30" i="33"/>
  <c r="AT30" i="33"/>
  <c r="AM30" i="33"/>
  <c r="AL30" i="33"/>
  <c r="AK30" i="33"/>
  <c r="AE30" i="33"/>
  <c r="AD30" i="33"/>
  <c r="E30" i="33"/>
  <c r="AR29" i="33"/>
  <c r="AV29" i="33" s="1"/>
  <c r="AZ29" i="33" s="1"/>
  <c r="BD29" i="33" s="1"/>
  <c r="BH29" i="33" s="1"/>
  <c r="BL29" i="33" s="1"/>
  <c r="BP29" i="33" s="1"/>
  <c r="BZ28" i="33"/>
  <c r="CF28" i="33" s="1"/>
  <c r="AS28" i="33"/>
  <c r="AK28" i="33"/>
  <c r="E28" i="33"/>
  <c r="AS27" i="33"/>
  <c r="AK27" i="33"/>
  <c r="E27" i="33"/>
  <c r="AS26" i="33"/>
  <c r="AK26" i="33"/>
  <c r="E26" i="33"/>
  <c r="AS25" i="33"/>
  <c r="AK25" i="33"/>
  <c r="E25" i="33"/>
  <c r="CF24" i="33"/>
  <c r="AS24" i="33"/>
  <c r="AK24" i="33"/>
  <c r="E24" i="33"/>
  <c r="AS23" i="33"/>
  <c r="AK23" i="33"/>
  <c r="E23" i="33"/>
  <c r="AS22" i="33"/>
  <c r="AK22" i="33"/>
  <c r="E22" i="33"/>
  <c r="AS21" i="33"/>
  <c r="AK21" i="33"/>
  <c r="AB21" i="33"/>
  <c r="AF21" i="33" s="1"/>
  <c r="AJ21" i="33" s="1"/>
  <c r="AN21" i="33" s="1"/>
  <c r="AR21" i="33" s="1"/>
  <c r="AV21" i="33" s="1"/>
  <c r="AZ21" i="33" s="1"/>
  <c r="BD21" i="33" s="1"/>
  <c r="BH21" i="33" s="1"/>
  <c r="BL21" i="33" s="1"/>
  <c r="BP21" i="33" s="1"/>
  <c r="BU21" i="33"/>
  <c r="D21" i="33"/>
  <c r="H21" i="33" s="1"/>
  <c r="L21" i="33" s="1"/>
  <c r="P21" i="33" s="1"/>
  <c r="AB20" i="33"/>
  <c r="AF20" i="33" s="1"/>
  <c r="AJ20" i="33" s="1"/>
  <c r="AN20" i="33" s="1"/>
  <c r="AR20" i="33" s="1"/>
  <c r="AV20" i="33" s="1"/>
  <c r="AZ20" i="33" s="1"/>
  <c r="BD20" i="33" s="1"/>
  <c r="BH20" i="33" s="1"/>
  <c r="BL20" i="33" s="1"/>
  <c r="BP20" i="33" s="1"/>
  <c r="D20" i="33"/>
  <c r="H20" i="33" s="1"/>
  <c r="L20" i="33" s="1"/>
  <c r="P20" i="33" s="1"/>
  <c r="AS19" i="33"/>
  <c r="AK19" i="33"/>
  <c r="E19" i="33"/>
  <c r="AS18" i="33"/>
  <c r="AR18" i="33"/>
  <c r="AV18" i="33" s="1"/>
  <c r="AZ18" i="33" s="1"/>
  <c r="BD18" i="33" s="1"/>
  <c r="BH18" i="33" s="1"/>
  <c r="BL18" i="33" s="1"/>
  <c r="BP18" i="33" s="1"/>
  <c r="AK18" i="33"/>
  <c r="P18" i="33"/>
  <c r="T18" i="33" s="1"/>
  <c r="X18" i="33" s="1"/>
  <c r="AB18" i="33" s="1"/>
  <c r="AF18" i="33" s="1"/>
  <c r="AJ18" i="33" s="1"/>
  <c r="E18" i="33"/>
  <c r="D18" i="33"/>
  <c r="BT18" i="33" s="1"/>
  <c r="BZ18" i="33" s="1"/>
  <c r="CB18" i="33" s="1"/>
  <c r="D16" i="33"/>
  <c r="H16" i="33" s="1"/>
  <c r="L16" i="33" s="1"/>
  <c r="P16" i="33" s="1"/>
  <c r="T16" i="33" s="1"/>
  <c r="X16" i="33" s="1"/>
  <c r="AB16" i="33" s="1"/>
  <c r="AF16" i="33" s="1"/>
  <c r="AJ16" i="33" s="1"/>
  <c r="AN16" i="33" s="1"/>
  <c r="AR16" i="33" s="1"/>
  <c r="AV16" i="33" s="1"/>
  <c r="AZ16" i="33" s="1"/>
  <c r="BD16" i="33" s="1"/>
  <c r="BH16" i="33" s="1"/>
  <c r="BL16" i="33" s="1"/>
  <c r="BP16" i="33" s="1"/>
  <c r="AU15" i="33"/>
  <c r="AM15" i="33"/>
  <c r="AL15" i="33"/>
  <c r="AI15" i="33"/>
  <c r="AE15" i="33"/>
  <c r="AD15" i="33"/>
  <c r="S15" i="33"/>
  <c r="E15" i="33"/>
  <c r="AK14" i="33"/>
  <c r="E14" i="33"/>
  <c r="AK13" i="33"/>
  <c r="AB13" i="33"/>
  <c r="AF13" i="33" s="1"/>
  <c r="AJ13" i="33" s="1"/>
  <c r="E13" i="33"/>
  <c r="D13" i="33"/>
  <c r="H13" i="33" s="1"/>
  <c r="L13" i="33" s="1"/>
  <c r="P13" i="33" s="1"/>
  <c r="AB12" i="33"/>
  <c r="AF12" i="33" s="1"/>
  <c r="AJ12" i="33" s="1"/>
  <c r="D12" i="33"/>
  <c r="H12" i="33" s="1"/>
  <c r="L12" i="33" s="1"/>
  <c r="P12" i="33" s="1"/>
  <c r="E11" i="33"/>
  <c r="E10" i="33"/>
  <c r="E9" i="33"/>
  <c r="AL8" i="33"/>
  <c r="Z8" i="33"/>
  <c r="N8" i="33"/>
  <c r="J8" i="33"/>
  <c r="E8" i="33"/>
  <c r="AQ7" i="33"/>
  <c r="AQ100" i="33" s="1"/>
  <c r="AM7" i="33"/>
  <c r="AL7" i="33"/>
  <c r="AI7" i="33"/>
  <c r="AI100" i="33" s="1"/>
  <c r="AH7" i="33"/>
  <c r="AE7" i="33"/>
  <c r="AD7" i="33"/>
  <c r="AA7" i="33"/>
  <c r="Z7" i="33"/>
  <c r="W7" i="33"/>
  <c r="W100" i="33" s="1"/>
  <c r="S7" i="33"/>
  <c r="R7" i="33"/>
  <c r="R100" i="33" s="1"/>
  <c r="O7" i="33"/>
  <c r="N7" i="33"/>
  <c r="K7" i="33"/>
  <c r="J7" i="33"/>
  <c r="G7" i="33"/>
  <c r="F7" i="33"/>
  <c r="F100" i="33" s="1"/>
  <c r="E7" i="33"/>
  <c r="AT7" i="32"/>
  <c r="AU7" i="32"/>
  <c r="CO36" i="34" l="1"/>
  <c r="CS36" i="34" s="1"/>
  <c r="CW36" i="34" s="1"/>
  <c r="BD7" i="34"/>
  <c r="BE12" i="34"/>
  <c r="G100" i="33"/>
  <c r="AT100" i="33"/>
  <c r="N100" i="33"/>
  <c r="AA100" i="33"/>
  <c r="AM100" i="33"/>
  <c r="CB100" i="33"/>
  <c r="AG55" i="33"/>
  <c r="AK55" i="33" s="1"/>
  <c r="AO55" i="33" s="1"/>
  <c r="AS55" i="33" s="1"/>
  <c r="AW55" i="33" s="1"/>
  <c r="BA55" i="33" s="1"/>
  <c r="BE55" i="33" s="1"/>
  <c r="BI55" i="33" s="1"/>
  <c r="BM55" i="33" s="1"/>
  <c r="BQ55" i="33" s="1"/>
  <c r="AB67" i="33"/>
  <c r="AF67" i="33" s="1"/>
  <c r="AJ67" i="33" s="1"/>
  <c r="AN67" i="33" s="1"/>
  <c r="AR67" i="33" s="1"/>
  <c r="AV67" i="33" s="1"/>
  <c r="AZ67" i="33" s="1"/>
  <c r="BD67" i="33" s="1"/>
  <c r="BH67" i="33" s="1"/>
  <c r="BL67" i="33" s="1"/>
  <c r="BP67" i="33" s="1"/>
  <c r="K100" i="33"/>
  <c r="O100" i="33"/>
  <c r="AH100" i="33"/>
  <c r="AU100" i="33"/>
  <c r="AG56" i="33"/>
  <c r="AK56" i="33" s="1"/>
  <c r="AO56" i="33" s="1"/>
  <c r="AS56" i="33" s="1"/>
  <c r="AW56" i="33" s="1"/>
  <c r="BA56" i="33" s="1"/>
  <c r="BE56" i="33" s="1"/>
  <c r="BI56" i="33" s="1"/>
  <c r="BM56" i="33" s="1"/>
  <c r="BQ56" i="33" s="1"/>
  <c r="AC58" i="33"/>
  <c r="AG58" i="33" s="1"/>
  <c r="AK58" i="33" s="1"/>
  <c r="AO58" i="33" s="1"/>
  <c r="AS58" i="33" s="1"/>
  <c r="AW58" i="33" s="1"/>
  <c r="BA58" i="33" s="1"/>
  <c r="BE58" i="33" s="1"/>
  <c r="BI58" i="33" s="1"/>
  <c r="BM58" i="33" s="1"/>
  <c r="BQ58" i="33" s="1"/>
  <c r="S100" i="33"/>
  <c r="Z100" i="33"/>
  <c r="J100" i="33"/>
  <c r="AE100" i="33"/>
  <c r="AV69" i="33"/>
  <c r="AZ69" i="33" s="1"/>
  <c r="BD69" i="33" s="1"/>
  <c r="BH69" i="33" s="1"/>
  <c r="BL69" i="33" s="1"/>
  <c r="BP69" i="33" s="1"/>
  <c r="AG54" i="33"/>
  <c r="AK54" i="33" s="1"/>
  <c r="AO54" i="33" s="1"/>
  <c r="AS54" i="33" s="1"/>
  <c r="AW54" i="33" s="1"/>
  <c r="BA54" i="33" s="1"/>
  <c r="BE54" i="33" s="1"/>
  <c r="BI54" i="33" s="1"/>
  <c r="BM54" i="33" s="1"/>
  <c r="BQ54" i="33" s="1"/>
  <c r="M57" i="33"/>
  <c r="Q57" i="33" s="1"/>
  <c r="U57" i="33" s="1"/>
  <c r="Y57" i="33" s="1"/>
  <c r="AC57" i="33" s="1"/>
  <c r="AG57" i="33" s="1"/>
  <c r="AK57" i="33" s="1"/>
  <c r="AO57" i="33" s="1"/>
  <c r="AS57" i="33" s="1"/>
  <c r="AW57" i="33" s="1"/>
  <c r="BA57" i="33" s="1"/>
  <c r="BE57" i="33" s="1"/>
  <c r="BI57" i="33" s="1"/>
  <c r="BM57" i="33" s="1"/>
  <c r="BQ57" i="33" s="1"/>
  <c r="BT67" i="33"/>
  <c r="BZ67" i="33" s="1"/>
  <c r="CD67" i="33" s="1"/>
  <c r="L68" i="33"/>
  <c r="P68" i="33" s="1"/>
  <c r="T68" i="33" s="1"/>
  <c r="X68" i="33" s="1"/>
  <c r="AB68" i="33" s="1"/>
  <c r="AF68" i="33" s="1"/>
  <c r="AJ68" i="33" s="1"/>
  <c r="AN68" i="33" s="1"/>
  <c r="AR68" i="33" s="1"/>
  <c r="AV68" i="33" s="1"/>
  <c r="AZ68" i="33" s="1"/>
  <c r="BD68" i="33" s="1"/>
  <c r="BH68" i="33" s="1"/>
  <c r="BL68" i="33" s="1"/>
  <c r="BP68" i="33" s="1"/>
  <c r="BT69" i="33"/>
  <c r="BZ69" i="33" s="1"/>
  <c r="CD69" i="33" s="1"/>
  <c r="BT84" i="33"/>
  <c r="BZ84" i="33" s="1"/>
  <c r="CD84" i="33" s="1"/>
  <c r="AW18" i="33"/>
  <c r="BT78" i="33"/>
  <c r="BZ78" i="33" s="1"/>
  <c r="CD78" i="33" s="1"/>
  <c r="H92" i="33"/>
  <c r="L92" i="33" s="1"/>
  <c r="P92" i="33" s="1"/>
  <c r="T92" i="33" s="1"/>
  <c r="X92" i="33" s="1"/>
  <c r="AB92" i="33" s="1"/>
  <c r="AF92" i="33" s="1"/>
  <c r="AJ92" i="33" s="1"/>
  <c r="AN92" i="33" s="1"/>
  <c r="AR92" i="33" s="1"/>
  <c r="AV92" i="33" s="1"/>
  <c r="AZ92" i="33" s="1"/>
  <c r="BD92" i="33" s="1"/>
  <c r="BH92" i="33" s="1"/>
  <c r="BL92" i="33" s="1"/>
  <c r="BP92" i="33" s="1"/>
  <c r="AD100" i="33"/>
  <c r="AL100" i="33"/>
  <c r="BW100" i="33"/>
  <c r="CA58" i="33"/>
  <c r="CE58" i="33" s="1"/>
  <c r="H18" i="33"/>
  <c r="BY100" i="33"/>
  <c r="CA55" i="33"/>
  <c r="CE55" i="33" s="1"/>
  <c r="H65" i="33"/>
  <c r="L65" i="33" s="1"/>
  <c r="P65" i="33" s="1"/>
  <c r="T65" i="33" s="1"/>
  <c r="X65" i="33" s="1"/>
  <c r="AB65" i="33" s="1"/>
  <c r="AF65" i="33" s="1"/>
  <c r="AJ65" i="33" s="1"/>
  <c r="AN65" i="33" s="1"/>
  <c r="AR65" i="33" s="1"/>
  <c r="AV65" i="33" s="1"/>
  <c r="AZ65" i="33" s="1"/>
  <c r="BD65" i="33" s="1"/>
  <c r="BH65" i="33" s="1"/>
  <c r="BL65" i="33" s="1"/>
  <c r="BP65" i="33" s="1"/>
  <c r="H70" i="33"/>
  <c r="L70" i="33" s="1"/>
  <c r="P70" i="33" s="1"/>
  <c r="T70" i="33" s="1"/>
  <c r="X70" i="33" s="1"/>
  <c r="AB70" i="33" s="1"/>
  <c r="AF70" i="33" s="1"/>
  <c r="AJ70" i="33" s="1"/>
  <c r="AN70" i="33" s="1"/>
  <c r="AR70" i="33" s="1"/>
  <c r="AV70" i="33" s="1"/>
  <c r="AZ70" i="33" s="1"/>
  <c r="BD70" i="33" s="1"/>
  <c r="BH70" i="33" s="1"/>
  <c r="BL70" i="33" s="1"/>
  <c r="BP70" i="33" s="1"/>
  <c r="H71" i="33"/>
  <c r="L71" i="33" s="1"/>
  <c r="P71" i="33" s="1"/>
  <c r="T71" i="33" s="1"/>
  <c r="X71" i="33" s="1"/>
  <c r="AB71" i="33" s="1"/>
  <c r="AF71" i="33" s="1"/>
  <c r="AJ71" i="33" s="1"/>
  <c r="AN71" i="33" s="1"/>
  <c r="AR71" i="33" s="1"/>
  <c r="AV71" i="33" s="1"/>
  <c r="AZ71" i="33" s="1"/>
  <c r="BD71" i="33" s="1"/>
  <c r="BH71" i="33" s="1"/>
  <c r="BL71" i="33" s="1"/>
  <c r="BP71" i="33" s="1"/>
  <c r="H72" i="33"/>
  <c r="L72" i="33" s="1"/>
  <c r="P72" i="33" s="1"/>
  <c r="T72" i="33" s="1"/>
  <c r="X72" i="33" s="1"/>
  <c r="AB72" i="33" s="1"/>
  <c r="AF72" i="33" s="1"/>
  <c r="AJ72" i="33" s="1"/>
  <c r="AN72" i="33" s="1"/>
  <c r="AR72" i="33" s="1"/>
  <c r="AV72" i="33" s="1"/>
  <c r="AZ72" i="33" s="1"/>
  <c r="BD72" i="33" s="1"/>
  <c r="BH72" i="33" s="1"/>
  <c r="BL72" i="33" s="1"/>
  <c r="BP72" i="33" s="1"/>
  <c r="H73" i="33"/>
  <c r="L73" i="33" s="1"/>
  <c r="P73" i="33" s="1"/>
  <c r="T73" i="33" s="1"/>
  <c r="X73" i="33" s="1"/>
  <c r="AB73" i="33" s="1"/>
  <c r="AF73" i="33" s="1"/>
  <c r="AJ73" i="33" s="1"/>
  <c r="AN73" i="33" s="1"/>
  <c r="AR73" i="33" s="1"/>
  <c r="AV73" i="33" s="1"/>
  <c r="AZ73" i="33" s="1"/>
  <c r="BD73" i="33" s="1"/>
  <c r="BH73" i="33" s="1"/>
  <c r="BL73" i="33" s="1"/>
  <c r="BP73" i="33" s="1"/>
  <c r="H74" i="33"/>
  <c r="L74" i="33" s="1"/>
  <c r="P74" i="33" s="1"/>
  <c r="T74" i="33" s="1"/>
  <c r="X74" i="33" s="1"/>
  <c r="AB74" i="33" s="1"/>
  <c r="AF74" i="33" s="1"/>
  <c r="AJ74" i="33" s="1"/>
  <c r="AN74" i="33" s="1"/>
  <c r="AR74" i="33" s="1"/>
  <c r="AV74" i="33" s="1"/>
  <c r="AZ74" i="33" s="1"/>
  <c r="BD74" i="33" s="1"/>
  <c r="BH74" i="33" s="1"/>
  <c r="BL74" i="33" s="1"/>
  <c r="BP74" i="33" s="1"/>
  <c r="BZ75" i="33"/>
  <c r="CD75" i="33" s="1"/>
  <c r="H75" i="33"/>
  <c r="L75" i="33" s="1"/>
  <c r="P75" i="33" s="1"/>
  <c r="T75" i="33" s="1"/>
  <c r="X75" i="33" s="1"/>
  <c r="AB75" i="33" s="1"/>
  <c r="AF75" i="33" s="1"/>
  <c r="AJ75" i="33" s="1"/>
  <c r="AN75" i="33" s="1"/>
  <c r="AR75" i="33" s="1"/>
  <c r="AV75" i="33" s="1"/>
  <c r="AZ75" i="33" s="1"/>
  <c r="BD75" i="33" s="1"/>
  <c r="BH75" i="33" s="1"/>
  <c r="BL75" i="33" s="1"/>
  <c r="BP75" i="33" s="1"/>
  <c r="H85" i="33"/>
  <c r="L85" i="33" s="1"/>
  <c r="P85" i="33" s="1"/>
  <c r="T85" i="33" s="1"/>
  <c r="X85" i="33" s="1"/>
  <c r="AB85" i="33" s="1"/>
  <c r="AF85" i="33" s="1"/>
  <c r="AJ85" i="33" s="1"/>
  <c r="AN85" i="33" s="1"/>
  <c r="AR85" i="33" s="1"/>
  <c r="AV85" i="33" s="1"/>
  <c r="AZ85" i="33" s="1"/>
  <c r="BD85" i="33" s="1"/>
  <c r="BH85" i="33" s="1"/>
  <c r="BL85" i="33" s="1"/>
  <c r="BP85" i="33" s="1"/>
  <c r="H79" i="33"/>
  <c r="L79" i="33" s="1"/>
  <c r="P79" i="33" s="1"/>
  <c r="T79" i="33" s="1"/>
  <c r="X79" i="33" s="1"/>
  <c r="AB79" i="33" s="1"/>
  <c r="AF79" i="33" s="1"/>
  <c r="AJ79" i="33" s="1"/>
  <c r="AN79" i="33" s="1"/>
  <c r="AR79" i="33" s="1"/>
  <c r="AV79" i="33" s="1"/>
  <c r="AZ79" i="33" s="1"/>
  <c r="BD79" i="33" s="1"/>
  <c r="BH79" i="33" s="1"/>
  <c r="BL79" i="33" s="1"/>
  <c r="BP79" i="33" s="1"/>
  <c r="H81" i="33"/>
  <c r="L81" i="33" s="1"/>
  <c r="P81" i="33" s="1"/>
  <c r="T81" i="33" s="1"/>
  <c r="X81" i="33" s="1"/>
  <c r="AB81" i="33" s="1"/>
  <c r="AF81" i="33" s="1"/>
  <c r="AJ81" i="33" s="1"/>
  <c r="AN81" i="33" s="1"/>
  <c r="AR81" i="33" s="1"/>
  <c r="AV81" i="33" s="1"/>
  <c r="AZ81" i="33" s="1"/>
  <c r="BD81" i="33" s="1"/>
  <c r="BH81" i="33" s="1"/>
  <c r="BL81" i="33" s="1"/>
  <c r="BP81" i="33" s="1"/>
  <c r="H80" i="33"/>
  <c r="L80" i="33" s="1"/>
  <c r="P80" i="33" s="1"/>
  <c r="T80" i="33" s="1"/>
  <c r="X80" i="33" s="1"/>
  <c r="AB80" i="33" s="1"/>
  <c r="AF80" i="33" s="1"/>
  <c r="AJ80" i="33" s="1"/>
  <c r="AN80" i="33" s="1"/>
  <c r="AR80" i="33" s="1"/>
  <c r="AV80" i="33" s="1"/>
  <c r="AZ80" i="33" s="1"/>
  <c r="BD80" i="33" s="1"/>
  <c r="BH80" i="33" s="1"/>
  <c r="BL80" i="33" s="1"/>
  <c r="BP80" i="33" s="1"/>
  <c r="H82" i="33"/>
  <c r="L82" i="33" s="1"/>
  <c r="P82" i="33" s="1"/>
  <c r="T82" i="33" s="1"/>
  <c r="X82" i="33" s="1"/>
  <c r="AB82" i="33" s="1"/>
  <c r="AF82" i="33" s="1"/>
  <c r="AJ82" i="33" s="1"/>
  <c r="AN82" i="33" s="1"/>
  <c r="AR82" i="33" s="1"/>
  <c r="AV82" i="33" s="1"/>
  <c r="AZ82" i="33" s="1"/>
  <c r="BD82" i="33" s="1"/>
  <c r="BH82" i="33" s="1"/>
  <c r="BL82" i="33" s="1"/>
  <c r="BP82" i="33" s="1"/>
  <c r="H83" i="33"/>
  <c r="L83" i="33" s="1"/>
  <c r="P83" i="33" s="1"/>
  <c r="T83" i="33" s="1"/>
  <c r="X83" i="33" s="1"/>
  <c r="AB83" i="33" s="1"/>
  <c r="AF83" i="33" s="1"/>
  <c r="AJ83" i="33" s="1"/>
  <c r="AN83" i="33" s="1"/>
  <c r="AR83" i="33" s="1"/>
  <c r="AV83" i="33" s="1"/>
  <c r="AZ83" i="33" s="1"/>
  <c r="BD83" i="33" s="1"/>
  <c r="BH83" i="33" s="1"/>
  <c r="BL83" i="33" s="1"/>
  <c r="BP83" i="33" s="1"/>
  <c r="H87" i="33"/>
  <c r="L87" i="33" s="1"/>
  <c r="P87" i="33" s="1"/>
  <c r="T87" i="33" s="1"/>
  <c r="X87" i="33" s="1"/>
  <c r="AB87" i="33" s="1"/>
  <c r="AF87" i="33" s="1"/>
  <c r="AJ87" i="33" s="1"/>
  <c r="AN87" i="33" s="1"/>
  <c r="AR87" i="33" s="1"/>
  <c r="AV87" i="33" s="1"/>
  <c r="AZ87" i="33" s="1"/>
  <c r="BD87" i="33" s="1"/>
  <c r="BH87" i="33" s="1"/>
  <c r="BL87" i="33" s="1"/>
  <c r="BP87" i="33" s="1"/>
  <c r="H91" i="33"/>
  <c r="L91" i="33" s="1"/>
  <c r="P91" i="33" s="1"/>
  <c r="T91" i="33" s="1"/>
  <c r="X91" i="33" s="1"/>
  <c r="AB91" i="33" s="1"/>
  <c r="AF91" i="33" s="1"/>
  <c r="AJ91" i="33" s="1"/>
  <c r="AN91" i="33" s="1"/>
  <c r="AR91" i="33" s="1"/>
  <c r="AV91" i="33" s="1"/>
  <c r="AZ91" i="33" s="1"/>
  <c r="BD91" i="33" s="1"/>
  <c r="BH91" i="33" s="1"/>
  <c r="BL91" i="33" s="1"/>
  <c r="BP91" i="33" s="1"/>
  <c r="H86" i="33"/>
  <c r="L86" i="33" s="1"/>
  <c r="P86" i="33" s="1"/>
  <c r="T86" i="33" s="1"/>
  <c r="X86" i="33" s="1"/>
  <c r="AB86" i="33" s="1"/>
  <c r="AF86" i="33" s="1"/>
  <c r="AJ86" i="33" s="1"/>
  <c r="AN86" i="33" s="1"/>
  <c r="AR86" i="33" s="1"/>
  <c r="AV86" i="33" s="1"/>
  <c r="AZ86" i="33" s="1"/>
  <c r="BD86" i="33" s="1"/>
  <c r="BH86" i="33" s="1"/>
  <c r="BL86" i="33" s="1"/>
  <c r="BP86" i="33" s="1"/>
  <c r="H88" i="33"/>
  <c r="L88" i="33" s="1"/>
  <c r="P88" i="33" s="1"/>
  <c r="T88" i="33" s="1"/>
  <c r="X88" i="33" s="1"/>
  <c r="AB88" i="33" s="1"/>
  <c r="AF88" i="33" s="1"/>
  <c r="AJ88" i="33" s="1"/>
  <c r="AN88" i="33" s="1"/>
  <c r="AR88" i="33" s="1"/>
  <c r="AV88" i="33" s="1"/>
  <c r="AZ88" i="33" s="1"/>
  <c r="BD88" i="33" s="1"/>
  <c r="BH88" i="33" s="1"/>
  <c r="BL88" i="33" s="1"/>
  <c r="BP88" i="33" s="1"/>
  <c r="H95" i="33"/>
  <c r="L95" i="33" s="1"/>
  <c r="P95" i="33" s="1"/>
  <c r="T95" i="33" s="1"/>
  <c r="X95" i="33" s="1"/>
  <c r="AB95" i="33" s="1"/>
  <c r="AF95" i="33" s="1"/>
  <c r="AJ95" i="33" s="1"/>
  <c r="AN95" i="33" s="1"/>
  <c r="AR95" i="33" s="1"/>
  <c r="AV95" i="33" s="1"/>
  <c r="AZ95" i="33" s="1"/>
  <c r="BD95" i="33" s="1"/>
  <c r="BH95" i="33" s="1"/>
  <c r="BL95" i="33" s="1"/>
  <c r="BP95" i="33" s="1"/>
  <c r="I39" i="36" l="1"/>
  <c r="M39" i="36" s="1"/>
  <c r="Q39" i="36" s="1"/>
  <c r="U39" i="36" s="1"/>
  <c r="Y39" i="36" s="1"/>
  <c r="AC39" i="36" s="1"/>
  <c r="AG39" i="36" s="1"/>
  <c r="AK39" i="36" s="1"/>
  <c r="AO39" i="36" s="1"/>
  <c r="AS39" i="36" s="1"/>
  <c r="AW39" i="36" s="1"/>
  <c r="BA39" i="36" s="1"/>
  <c r="BI12" i="34"/>
  <c r="BH7" i="34"/>
  <c r="CD100" i="33"/>
  <c r="CE100" i="33"/>
  <c r="BL7" i="34" l="1"/>
  <c r="BP7" i="34" s="1"/>
  <c r="BT7" i="34" s="1"/>
  <c r="BM12" i="34"/>
  <c r="AU53" i="32"/>
  <c r="AU36" i="32"/>
  <c r="AU48" i="32"/>
  <c r="AU32" i="32"/>
  <c r="AT67" i="32"/>
  <c r="AT68" i="32"/>
  <c r="AU15" i="32"/>
  <c r="AT29" i="32"/>
  <c r="AU29" i="32"/>
  <c r="BX7" i="34" l="1"/>
  <c r="BQ12" i="34"/>
  <c r="AQ7" i="32"/>
  <c r="CB7" i="34" l="1"/>
  <c r="BU12" i="34"/>
  <c r="AS96" i="32"/>
  <c r="AS97" i="32"/>
  <c r="AR98" i="32"/>
  <c r="AV98" i="32" s="1"/>
  <c r="AS91" i="32"/>
  <c r="AS92" i="32"/>
  <c r="AS93" i="32"/>
  <c r="AS94" i="32"/>
  <c r="AS95" i="32"/>
  <c r="AS87" i="32"/>
  <c r="AS88" i="32"/>
  <c r="AS89" i="32"/>
  <c r="AS90" i="32"/>
  <c r="AS82" i="32"/>
  <c r="AS83" i="32"/>
  <c r="AS84" i="32"/>
  <c r="AS85" i="32"/>
  <c r="AS86" i="32"/>
  <c r="AS78" i="32"/>
  <c r="AS79" i="32"/>
  <c r="AS80" i="32"/>
  <c r="AS81" i="32"/>
  <c r="AS75" i="32"/>
  <c r="AS76" i="32"/>
  <c r="AS77" i="32"/>
  <c r="AS72" i="32"/>
  <c r="AS73" i="32"/>
  <c r="AS74" i="32"/>
  <c r="AS70" i="32"/>
  <c r="AS71" i="32"/>
  <c r="AS65" i="32"/>
  <c r="AR62" i="32"/>
  <c r="AS62" i="32"/>
  <c r="AW62" i="32" s="1"/>
  <c r="AR63" i="32"/>
  <c r="AS63" i="32"/>
  <c r="AW63" i="32" s="1"/>
  <c r="AR58" i="32"/>
  <c r="AR59" i="32"/>
  <c r="AR60" i="32"/>
  <c r="AR61" i="32"/>
  <c r="AR55" i="32"/>
  <c r="AR57" i="32"/>
  <c r="AR51" i="32"/>
  <c r="AR52" i="32"/>
  <c r="AR54" i="32"/>
  <c r="AR47" i="32"/>
  <c r="AR49" i="32"/>
  <c r="AR50" i="32"/>
  <c r="AR42" i="32"/>
  <c r="AR43" i="32"/>
  <c r="AR44" i="32"/>
  <c r="AR45" i="32"/>
  <c r="AR46" i="32"/>
  <c r="AR37" i="32"/>
  <c r="AR38" i="32"/>
  <c r="AR39" i="32"/>
  <c r="AR40" i="32"/>
  <c r="AR41" i="32"/>
  <c r="AS34" i="32"/>
  <c r="AR35" i="32"/>
  <c r="AV35" i="32" s="1"/>
  <c r="AR33" i="32"/>
  <c r="AV33" i="32" s="1"/>
  <c r="AS27" i="32"/>
  <c r="AS30" i="32"/>
  <c r="AS22" i="32"/>
  <c r="AS23" i="32"/>
  <c r="AS24" i="32"/>
  <c r="AS25" i="32"/>
  <c r="AS26" i="32"/>
  <c r="AR31" i="32"/>
  <c r="AV31" i="32" s="1"/>
  <c r="AR28" i="32"/>
  <c r="AV28" i="32" s="1"/>
  <c r="AS17" i="32"/>
  <c r="AS18" i="32"/>
  <c r="AS20" i="32"/>
  <c r="AS21" i="32"/>
  <c r="AR16" i="32"/>
  <c r="AV16" i="32" s="1"/>
  <c r="AR17" i="32"/>
  <c r="CF7" i="34" l="1"/>
  <c r="BY12" i="34"/>
  <c r="AW17" i="32"/>
  <c r="AV17" i="32"/>
  <c r="AM55" i="32"/>
  <c r="AL15" i="32"/>
  <c r="AE55" i="32"/>
  <c r="AD15" i="32"/>
  <c r="Z15" i="32"/>
  <c r="O56" i="32"/>
  <c r="N15" i="32"/>
  <c r="K56" i="32"/>
  <c r="J15" i="32"/>
  <c r="G55" i="32"/>
  <c r="I55" i="32" s="1"/>
  <c r="F15" i="32"/>
  <c r="I56" i="32"/>
  <c r="M56" i="32" s="1"/>
  <c r="AL8" i="32"/>
  <c r="AM15" i="32"/>
  <c r="AL67" i="32"/>
  <c r="AM53" i="32"/>
  <c r="AM32" i="32"/>
  <c r="AM7" i="32"/>
  <c r="AL7" i="32"/>
  <c r="CJ7" i="34" l="1"/>
  <c r="CC12" i="34"/>
  <c r="AL64" i="32"/>
  <c r="AM36" i="32"/>
  <c r="AM48" i="32"/>
  <c r="CG12" i="34" l="1"/>
  <c r="CN7" i="34"/>
  <c r="CR7" i="34" s="1"/>
  <c r="AL29" i="32"/>
  <c r="AM29" i="32"/>
  <c r="AJ98" i="32"/>
  <c r="AJ75" i="32"/>
  <c r="AN75" i="32" s="1"/>
  <c r="AR75" i="32" s="1"/>
  <c r="AV75" i="32" s="1"/>
  <c r="AJ76" i="32"/>
  <c r="AN76" i="32" s="1"/>
  <c r="AR76" i="32" s="1"/>
  <c r="AV76" i="32" s="1"/>
  <c r="AK32" i="32"/>
  <c r="AK34" i="32"/>
  <c r="AK20" i="32"/>
  <c r="AK21" i="32"/>
  <c r="AK22" i="32"/>
  <c r="AK23" i="32"/>
  <c r="AK24" i="32"/>
  <c r="AK25" i="32"/>
  <c r="AK26" i="32"/>
  <c r="AK27" i="32"/>
  <c r="AK29" i="32"/>
  <c r="AK30" i="32"/>
  <c r="AK13" i="32"/>
  <c r="AK14" i="32"/>
  <c r="AK17" i="32"/>
  <c r="AK18" i="32"/>
  <c r="AI7" i="32"/>
  <c r="AH77" i="32"/>
  <c r="AH67" i="32"/>
  <c r="AI15" i="32"/>
  <c r="AH7" i="32"/>
  <c r="CV7" i="34" l="1"/>
  <c r="CK12" i="34"/>
  <c r="AF84" i="32"/>
  <c r="AJ84" i="32" s="1"/>
  <c r="AN84" i="32" s="1"/>
  <c r="AR84" i="32" s="1"/>
  <c r="AV84" i="32" s="1"/>
  <c r="AD66" i="32"/>
  <c r="AD67" i="32"/>
  <c r="AD69" i="32"/>
  <c r="AD64" i="32"/>
  <c r="AE36" i="32"/>
  <c r="H8" i="36" l="1"/>
  <c r="CO12" i="34"/>
  <c r="CS12" i="34" s="1"/>
  <c r="AE48" i="32"/>
  <c r="CW12" i="34" l="1"/>
  <c r="L8" i="36"/>
  <c r="E13" i="36"/>
  <c r="BE13" i="36" s="1"/>
  <c r="AE15" i="32"/>
  <c r="AE54" i="32"/>
  <c r="AE53" i="32"/>
  <c r="AE32" i="32"/>
  <c r="AE29" i="32"/>
  <c r="AD29" i="32"/>
  <c r="AE7" i="32"/>
  <c r="AD7" i="32"/>
  <c r="AW13" i="36" l="1"/>
  <c r="P8" i="36"/>
  <c r="I13" i="36"/>
  <c r="Y34" i="32"/>
  <c r="BA13" i="36" l="1"/>
  <c r="M13" i="36"/>
  <c r="T8" i="36"/>
  <c r="AA57" i="32"/>
  <c r="X8" i="36" l="1"/>
  <c r="Q13" i="36"/>
  <c r="Z66" i="32"/>
  <c r="Z67" i="32"/>
  <c r="Z48" i="32"/>
  <c r="Z36" i="32"/>
  <c r="Z69" i="32"/>
  <c r="Z8" i="32"/>
  <c r="U13" i="36" l="1"/>
  <c r="AB8" i="36"/>
  <c r="AA7" i="32"/>
  <c r="Z7" i="32"/>
  <c r="F7" i="32"/>
  <c r="G7" i="32"/>
  <c r="F8" i="32"/>
  <c r="AF8" i="36" l="1"/>
  <c r="Y13" i="36"/>
  <c r="AC62" i="32"/>
  <c r="AG62" i="32" s="1"/>
  <c r="AK62" i="32" s="1"/>
  <c r="AC63" i="32"/>
  <c r="AG63" i="32" s="1"/>
  <c r="AK63" i="32" s="1"/>
  <c r="AB19" i="32"/>
  <c r="AF19" i="32" s="1"/>
  <c r="AJ19" i="32" s="1"/>
  <c r="AN19" i="32" s="1"/>
  <c r="AR19" i="32" s="1"/>
  <c r="AV19" i="32" s="1"/>
  <c r="AB20" i="32"/>
  <c r="AF20" i="32" s="1"/>
  <c r="AJ20" i="32" s="1"/>
  <c r="AN20" i="32" s="1"/>
  <c r="AR20" i="32" s="1"/>
  <c r="AV20" i="32" s="1"/>
  <c r="AB12" i="32"/>
  <c r="AF12" i="32" s="1"/>
  <c r="AJ12" i="32" s="1"/>
  <c r="AB13" i="32"/>
  <c r="AF13" i="32" s="1"/>
  <c r="AJ13" i="32" s="1"/>
  <c r="AJ8" i="36" l="1"/>
  <c r="AC13" i="36"/>
  <c r="X33" i="32"/>
  <c r="AB33" i="32" s="1"/>
  <c r="AF33" i="32" s="1"/>
  <c r="AJ33" i="32" s="1"/>
  <c r="Y32" i="32"/>
  <c r="X31" i="32"/>
  <c r="AB31" i="32" s="1"/>
  <c r="AF31" i="32" s="1"/>
  <c r="AJ31" i="32" s="1"/>
  <c r="X16" i="32"/>
  <c r="AB16" i="32" s="1"/>
  <c r="AF16" i="32" s="1"/>
  <c r="AJ16" i="32" s="1"/>
  <c r="V69" i="32"/>
  <c r="V67" i="32"/>
  <c r="W44" i="32"/>
  <c r="W7" i="32"/>
  <c r="R67" i="32"/>
  <c r="R66" i="32"/>
  <c r="S15" i="32"/>
  <c r="S7" i="32"/>
  <c r="S99" i="32" s="1"/>
  <c r="R7" i="32"/>
  <c r="P98" i="32"/>
  <c r="T98" i="32" s="1"/>
  <c r="X98" i="32" s="1"/>
  <c r="Q56" i="32"/>
  <c r="U56" i="32" s="1"/>
  <c r="Y56" i="32" s="1"/>
  <c r="AC56" i="32" s="1"/>
  <c r="AG56" i="32" s="1"/>
  <c r="AK56" i="32" s="1"/>
  <c r="AO56" i="32" s="1"/>
  <c r="AS56" i="32" s="1"/>
  <c r="AW56" i="32" s="1"/>
  <c r="Q34" i="32"/>
  <c r="P16" i="32"/>
  <c r="P17" i="32"/>
  <c r="T17" i="32" s="1"/>
  <c r="X17" i="32" s="1"/>
  <c r="AB17" i="32" s="1"/>
  <c r="AF17" i="32" s="1"/>
  <c r="AJ17" i="32" s="1"/>
  <c r="N83" i="32"/>
  <c r="N74" i="32"/>
  <c r="N69" i="32"/>
  <c r="O48" i="32"/>
  <c r="O44" i="32"/>
  <c r="N8" i="32"/>
  <c r="O7" i="32"/>
  <c r="N7" i="32"/>
  <c r="AD99" i="32"/>
  <c r="AE99" i="32"/>
  <c r="AH99" i="32"/>
  <c r="AI99" i="32"/>
  <c r="AL99" i="32"/>
  <c r="AM99" i="32"/>
  <c r="AP99" i="32"/>
  <c r="AQ99" i="32"/>
  <c r="AT99" i="32"/>
  <c r="AU99" i="32"/>
  <c r="AX99" i="32"/>
  <c r="AY99" i="32"/>
  <c r="AZ99" i="32"/>
  <c r="BA99" i="32"/>
  <c r="BB99" i="32"/>
  <c r="BC99" i="32"/>
  <c r="M61" i="32"/>
  <c r="Q61" i="32" s="1"/>
  <c r="U61" i="32" s="1"/>
  <c r="Y61" i="32" s="1"/>
  <c r="AC61" i="32" s="1"/>
  <c r="AG61" i="32" s="1"/>
  <c r="AK61" i="32" s="1"/>
  <c r="AO61" i="32" s="1"/>
  <c r="AS61" i="32" s="1"/>
  <c r="AW61" i="32" s="1"/>
  <c r="M62" i="32"/>
  <c r="Q62" i="32" s="1"/>
  <c r="U62" i="32" s="1"/>
  <c r="M63" i="32"/>
  <c r="Q63" i="32" s="1"/>
  <c r="M57" i="32"/>
  <c r="Q57" i="32" s="1"/>
  <c r="U57" i="32" s="1"/>
  <c r="Y57" i="32" s="1"/>
  <c r="AC57" i="32" s="1"/>
  <c r="AG57" i="32" s="1"/>
  <c r="AK57" i="32" s="1"/>
  <c r="AO57" i="32" s="1"/>
  <c r="AS57" i="32" s="1"/>
  <c r="AW57" i="32" s="1"/>
  <c r="M58" i="32"/>
  <c r="Q58" i="32" s="1"/>
  <c r="U58" i="32" s="1"/>
  <c r="Y58" i="32" s="1"/>
  <c r="AC58" i="32" s="1"/>
  <c r="AG58" i="32" s="1"/>
  <c r="AK58" i="32" s="1"/>
  <c r="AO58" i="32" s="1"/>
  <c r="AS58" i="32" s="1"/>
  <c r="AW58" i="32" s="1"/>
  <c r="M59" i="32"/>
  <c r="Q59" i="32" s="1"/>
  <c r="U59" i="32" s="1"/>
  <c r="Y59" i="32" s="1"/>
  <c r="AC59" i="32" s="1"/>
  <c r="AG59" i="32" s="1"/>
  <c r="AK59" i="32" s="1"/>
  <c r="AO59" i="32" s="1"/>
  <c r="AS59" i="32" s="1"/>
  <c r="AW59" i="32" s="1"/>
  <c r="M53" i="32"/>
  <c r="Q53" i="32" s="1"/>
  <c r="U53" i="32" s="1"/>
  <c r="Y53" i="32" s="1"/>
  <c r="AC53" i="32" s="1"/>
  <c r="AG53" i="32" s="1"/>
  <c r="AK53" i="32" s="1"/>
  <c r="AO53" i="32" s="1"/>
  <c r="AS53" i="32" s="1"/>
  <c r="AW53" i="32" s="1"/>
  <c r="M54" i="32"/>
  <c r="Q54" i="32" s="1"/>
  <c r="U54" i="32" s="1"/>
  <c r="Y54" i="32" s="1"/>
  <c r="AC54" i="32" s="1"/>
  <c r="AG54" i="32" s="1"/>
  <c r="AK54" i="32" s="1"/>
  <c r="AO54" i="32" s="1"/>
  <c r="AS54" i="32" s="1"/>
  <c r="AW54" i="32" s="1"/>
  <c r="M55" i="32"/>
  <c r="Q55" i="32" s="1"/>
  <c r="U55" i="32" s="1"/>
  <c r="Y55" i="32" s="1"/>
  <c r="AC55" i="32" s="1"/>
  <c r="AG55" i="32" s="1"/>
  <c r="AK55" i="32" s="1"/>
  <c r="AO55" i="32" s="1"/>
  <c r="AS55" i="32" s="1"/>
  <c r="AW55" i="32" s="1"/>
  <c r="J68" i="32"/>
  <c r="J67" i="32"/>
  <c r="J48" i="32"/>
  <c r="K44" i="32"/>
  <c r="J36" i="32"/>
  <c r="J8" i="32"/>
  <c r="K7" i="32"/>
  <c r="J7" i="32"/>
  <c r="I60" i="32"/>
  <c r="M60" i="32" s="1"/>
  <c r="Q60" i="32" s="1"/>
  <c r="U60" i="32" s="1"/>
  <c r="H89" i="32"/>
  <c r="L89" i="32" s="1"/>
  <c r="P89" i="32" s="1"/>
  <c r="T89" i="32" s="1"/>
  <c r="H65" i="32"/>
  <c r="L65" i="32" s="1"/>
  <c r="P65" i="32" s="1"/>
  <c r="T65" i="32" s="1"/>
  <c r="H67" i="32"/>
  <c r="L67" i="32" s="1"/>
  <c r="P67" i="32" s="1"/>
  <c r="G99" i="32"/>
  <c r="F99" i="32"/>
  <c r="AN8" i="36" l="1"/>
  <c r="AR8" i="36" s="1"/>
  <c r="AV8" i="36" s="1"/>
  <c r="AZ8" i="36" s="1"/>
  <c r="AG13" i="36"/>
  <c r="T67" i="32"/>
  <c r="J99" i="32"/>
  <c r="K99" i="32"/>
  <c r="N99" i="32"/>
  <c r="R99" i="32"/>
  <c r="S100" i="32" s="1"/>
  <c r="W99" i="32"/>
  <c r="V99" i="32"/>
  <c r="AQ100" i="32"/>
  <c r="O99" i="32"/>
  <c r="AU100" i="32"/>
  <c r="AI100" i="32"/>
  <c r="AE100" i="32"/>
  <c r="AM100" i="32"/>
  <c r="Y60" i="32"/>
  <c r="AC60" i="32" s="1"/>
  <c r="AG60" i="32" s="1"/>
  <c r="AK60" i="32" s="1"/>
  <c r="AO60" i="32" s="1"/>
  <c r="AS60" i="32" s="1"/>
  <c r="AW60" i="32" s="1"/>
  <c r="X89" i="32"/>
  <c r="AB89" i="32" s="1"/>
  <c r="AF89" i="32" s="1"/>
  <c r="AJ89" i="32" s="1"/>
  <c r="AN89" i="32" s="1"/>
  <c r="AR89" i="32" s="1"/>
  <c r="AV89" i="32" s="1"/>
  <c r="X65" i="32"/>
  <c r="AB65" i="32" s="1"/>
  <c r="AF65" i="32" s="1"/>
  <c r="AJ65" i="32" s="1"/>
  <c r="AN65" i="32" s="1"/>
  <c r="AR65" i="32" s="1"/>
  <c r="AV65" i="32" s="1"/>
  <c r="X67" i="32"/>
  <c r="AB67" i="32" s="1"/>
  <c r="AF67" i="32" s="1"/>
  <c r="AJ67" i="32" s="1"/>
  <c r="AN67" i="32" s="1"/>
  <c r="AR67" i="32" s="1"/>
  <c r="AV67" i="32" s="1"/>
  <c r="G100" i="32"/>
  <c r="AK13" i="36" l="1"/>
  <c r="AO13" i="36" s="1"/>
  <c r="O100" i="32"/>
  <c r="K100" i="32"/>
  <c r="E9" i="32"/>
  <c r="E10" i="32"/>
  <c r="E11" i="32"/>
  <c r="D12" i="32"/>
  <c r="H12" i="32" s="1"/>
  <c r="L12" i="32" s="1"/>
  <c r="P12" i="32" s="1"/>
  <c r="D13" i="32"/>
  <c r="H13" i="32" s="1"/>
  <c r="L13" i="32" s="1"/>
  <c r="P13" i="32" s="1"/>
  <c r="E13" i="32"/>
  <c r="E14" i="32"/>
  <c r="E15" i="32"/>
  <c r="D16" i="32"/>
  <c r="H16" i="32" s="1"/>
  <c r="D17" i="32"/>
  <c r="H17" i="32" s="1"/>
  <c r="E17" i="32"/>
  <c r="E18" i="32"/>
  <c r="D19" i="32"/>
  <c r="H19" i="32" s="1"/>
  <c r="L19" i="32" s="1"/>
  <c r="P19" i="32" s="1"/>
  <c r="D20" i="32"/>
  <c r="H20" i="32" s="1"/>
  <c r="L20" i="32" s="1"/>
  <c r="P20" i="32" s="1"/>
  <c r="E20" i="32"/>
  <c r="BE20" i="32" s="1"/>
  <c r="E21" i="32"/>
  <c r="E22" i="32"/>
  <c r="E23" i="32"/>
  <c r="E24" i="32"/>
  <c r="E25" i="32"/>
  <c r="E26" i="32"/>
  <c r="E27" i="32"/>
  <c r="E29" i="32"/>
  <c r="E30" i="32"/>
  <c r="D31" i="32"/>
  <c r="H31" i="32" s="1"/>
  <c r="E32" i="32"/>
  <c r="D33" i="32"/>
  <c r="H33" i="32" s="1"/>
  <c r="E34" i="32"/>
  <c r="D35" i="32"/>
  <c r="D36" i="32"/>
  <c r="D37" i="32"/>
  <c r="D38" i="32"/>
  <c r="D39" i="32"/>
  <c r="D40" i="32"/>
  <c r="D41" i="32"/>
  <c r="D42" i="32"/>
  <c r="D43" i="32"/>
  <c r="D44" i="32"/>
  <c r="D45" i="32"/>
  <c r="D46" i="32"/>
  <c r="D47" i="32"/>
  <c r="D48" i="32"/>
  <c r="D49" i="32"/>
  <c r="D50" i="32"/>
  <c r="D51" i="32"/>
  <c r="D52" i="32"/>
  <c r="D53" i="32"/>
  <c r="H53" i="32" s="1"/>
  <c r="E53" i="32"/>
  <c r="D54" i="32"/>
  <c r="H54" i="32" s="1"/>
  <c r="E54" i="32"/>
  <c r="BE54" i="32" s="1"/>
  <c r="D55" i="32"/>
  <c r="E55" i="32"/>
  <c r="BE55" i="32" s="1"/>
  <c r="BK55" i="32" s="1"/>
  <c r="BO55" i="32" s="1"/>
  <c r="D57" i="32"/>
  <c r="H57" i="32" s="1"/>
  <c r="E57" i="32"/>
  <c r="D58" i="32"/>
  <c r="H58" i="32" s="1"/>
  <c r="E58" i="32"/>
  <c r="D59" i="32"/>
  <c r="H59" i="32" s="1"/>
  <c r="E59" i="32"/>
  <c r="BE59" i="32" s="1"/>
  <c r="BK59" i="32" s="1"/>
  <c r="BO59" i="32" s="1"/>
  <c r="D60" i="32"/>
  <c r="E60" i="32"/>
  <c r="D61" i="32"/>
  <c r="H61" i="32" s="1"/>
  <c r="E61" i="32"/>
  <c r="BE61" i="32" s="1"/>
  <c r="BK61" i="32" s="1"/>
  <c r="BO61" i="32" s="1"/>
  <c r="D62" i="32"/>
  <c r="H62" i="32" s="1"/>
  <c r="E62" i="32"/>
  <c r="D63" i="32"/>
  <c r="H63" i="32" s="1"/>
  <c r="E63" i="32"/>
  <c r="BE63" i="32" s="1"/>
  <c r="BK63" i="32" s="1"/>
  <c r="D64" i="32"/>
  <c r="H64" i="32" s="1"/>
  <c r="L64" i="32" s="1"/>
  <c r="P64" i="32" s="1"/>
  <c r="T64" i="32" s="1"/>
  <c r="X64" i="32" s="1"/>
  <c r="AB64" i="32" s="1"/>
  <c r="AF64" i="32" s="1"/>
  <c r="AJ64" i="32" s="1"/>
  <c r="AN64" i="32" s="1"/>
  <c r="AR64" i="32" s="1"/>
  <c r="AV64" i="32" s="1"/>
  <c r="E64" i="32"/>
  <c r="D66" i="32"/>
  <c r="H66" i="32" s="1"/>
  <c r="L66" i="32" s="1"/>
  <c r="P66" i="32" s="1"/>
  <c r="T66" i="32" s="1"/>
  <c r="X66" i="32" s="1"/>
  <c r="E66" i="32"/>
  <c r="D68" i="32"/>
  <c r="H68" i="32" s="1"/>
  <c r="L68" i="32" s="1"/>
  <c r="P68" i="32" s="1"/>
  <c r="T68" i="32" s="1"/>
  <c r="E68" i="32"/>
  <c r="D69" i="32"/>
  <c r="H69" i="32" s="1"/>
  <c r="L69" i="32" s="1"/>
  <c r="P69" i="32" s="1"/>
  <c r="T69" i="32" s="1"/>
  <c r="E69" i="32"/>
  <c r="D70" i="32"/>
  <c r="H70" i="32" s="1"/>
  <c r="L70" i="32" s="1"/>
  <c r="P70" i="32" s="1"/>
  <c r="T70" i="32" s="1"/>
  <c r="E70" i="32"/>
  <c r="D71" i="32"/>
  <c r="H71" i="32" s="1"/>
  <c r="L71" i="32" s="1"/>
  <c r="P71" i="32" s="1"/>
  <c r="T71" i="32" s="1"/>
  <c r="E71" i="32"/>
  <c r="D72" i="32"/>
  <c r="H72" i="32" s="1"/>
  <c r="L72" i="32" s="1"/>
  <c r="P72" i="32" s="1"/>
  <c r="T72" i="32" s="1"/>
  <c r="E72" i="32"/>
  <c r="D73" i="32"/>
  <c r="H73" i="32" s="1"/>
  <c r="L73" i="32" s="1"/>
  <c r="P73" i="32" s="1"/>
  <c r="T73" i="32" s="1"/>
  <c r="E73" i="32"/>
  <c r="D74" i="32"/>
  <c r="H74" i="32" s="1"/>
  <c r="L74" i="32" s="1"/>
  <c r="P74" i="32" s="1"/>
  <c r="T74" i="32" s="1"/>
  <c r="E74" i="32"/>
  <c r="D77" i="32"/>
  <c r="H77" i="32" s="1"/>
  <c r="L77" i="32" s="1"/>
  <c r="P77" i="32" s="1"/>
  <c r="T77" i="32" s="1"/>
  <c r="E77" i="32"/>
  <c r="D78" i="32"/>
  <c r="H78" i="32" s="1"/>
  <c r="L78" i="32" s="1"/>
  <c r="P78" i="32" s="1"/>
  <c r="T78" i="32" s="1"/>
  <c r="E78" i="32"/>
  <c r="D79" i="32"/>
  <c r="H79" i="32" s="1"/>
  <c r="L79" i="32" s="1"/>
  <c r="P79" i="32" s="1"/>
  <c r="T79" i="32" s="1"/>
  <c r="E79" i="32"/>
  <c r="D80" i="32"/>
  <c r="H80" i="32" s="1"/>
  <c r="L80" i="32" s="1"/>
  <c r="P80" i="32" s="1"/>
  <c r="T80" i="32" s="1"/>
  <c r="E80" i="32"/>
  <c r="D81" i="32"/>
  <c r="H81" i="32" s="1"/>
  <c r="L81" i="32" s="1"/>
  <c r="P81" i="32" s="1"/>
  <c r="T81" i="32" s="1"/>
  <c r="E81" i="32"/>
  <c r="D82" i="32"/>
  <c r="H82" i="32" s="1"/>
  <c r="L82" i="32" s="1"/>
  <c r="P82" i="32" s="1"/>
  <c r="T82" i="32" s="1"/>
  <c r="E82" i="32"/>
  <c r="D83" i="32"/>
  <c r="H83" i="32" s="1"/>
  <c r="L83" i="32" s="1"/>
  <c r="P83" i="32" s="1"/>
  <c r="T83" i="32" s="1"/>
  <c r="E83" i="32"/>
  <c r="D85" i="32"/>
  <c r="H85" i="32" s="1"/>
  <c r="L85" i="32" s="1"/>
  <c r="P85" i="32" s="1"/>
  <c r="T85" i="32" s="1"/>
  <c r="E85" i="32"/>
  <c r="D86" i="32"/>
  <c r="H86" i="32" s="1"/>
  <c r="L86" i="32" s="1"/>
  <c r="P86" i="32" s="1"/>
  <c r="T86" i="32" s="1"/>
  <c r="E86" i="32"/>
  <c r="D87" i="32"/>
  <c r="H87" i="32" s="1"/>
  <c r="L87" i="32" s="1"/>
  <c r="P87" i="32" s="1"/>
  <c r="T87" i="32" s="1"/>
  <c r="E87" i="32"/>
  <c r="D88" i="32"/>
  <c r="H88" i="32" s="1"/>
  <c r="L88" i="32" s="1"/>
  <c r="P88" i="32" s="1"/>
  <c r="T88" i="32" s="1"/>
  <c r="E88" i="32"/>
  <c r="D90" i="32"/>
  <c r="H90" i="32" s="1"/>
  <c r="L90" i="32" s="1"/>
  <c r="P90" i="32" s="1"/>
  <c r="T90" i="32" s="1"/>
  <c r="E90" i="32"/>
  <c r="D91" i="32"/>
  <c r="H91" i="32" s="1"/>
  <c r="L91" i="32" s="1"/>
  <c r="P91" i="32" s="1"/>
  <c r="T91" i="32" s="1"/>
  <c r="E91" i="32"/>
  <c r="D92" i="32"/>
  <c r="H92" i="32" s="1"/>
  <c r="L92" i="32" s="1"/>
  <c r="P92" i="32" s="1"/>
  <c r="T92" i="32" s="1"/>
  <c r="E92" i="32"/>
  <c r="D93" i="32"/>
  <c r="H93" i="32" s="1"/>
  <c r="L93" i="32" s="1"/>
  <c r="P93" i="32" s="1"/>
  <c r="T93" i="32" s="1"/>
  <c r="E93" i="32"/>
  <c r="D94" i="32"/>
  <c r="H94" i="32" s="1"/>
  <c r="L94" i="32" s="1"/>
  <c r="P94" i="32" s="1"/>
  <c r="T94" i="32" s="1"/>
  <c r="E94" i="32"/>
  <c r="D95" i="32"/>
  <c r="H95" i="32" s="1"/>
  <c r="L95" i="32" s="1"/>
  <c r="P95" i="32" s="1"/>
  <c r="T95" i="32" s="1"/>
  <c r="E95" i="32"/>
  <c r="E96" i="32"/>
  <c r="D97" i="32"/>
  <c r="H97" i="32" s="1"/>
  <c r="L97" i="32" s="1"/>
  <c r="P97" i="32" s="1"/>
  <c r="T97" i="32" s="1"/>
  <c r="E97" i="32"/>
  <c r="D98" i="32"/>
  <c r="H98" i="32" s="1"/>
  <c r="I98" i="32"/>
  <c r="M98" i="32" s="1"/>
  <c r="Q98" i="32" s="1"/>
  <c r="U98" i="32" s="1"/>
  <c r="Y98" i="32" s="1"/>
  <c r="AC98" i="32" s="1"/>
  <c r="AG98" i="32" s="1"/>
  <c r="AK98" i="32" s="1"/>
  <c r="AO98" i="32" s="1"/>
  <c r="AS98" i="32" s="1"/>
  <c r="AW98" i="32" s="1"/>
  <c r="E7" i="32"/>
  <c r="E8" i="32"/>
  <c r="BM99" i="32"/>
  <c r="BQ98" i="32"/>
  <c r="BN97" i="32"/>
  <c r="BP96" i="32"/>
  <c r="BO95" i="32"/>
  <c r="BK95" i="32"/>
  <c r="BK93" i="32"/>
  <c r="BO93" i="32" s="1"/>
  <c r="BI92" i="32"/>
  <c r="BK92" i="32" s="1"/>
  <c r="BO92" i="32" s="1"/>
  <c r="BN91" i="32"/>
  <c r="BK91" i="32"/>
  <c r="BO91" i="32" s="1"/>
  <c r="BN90" i="32"/>
  <c r="BK90" i="32"/>
  <c r="BO90" i="32" s="1"/>
  <c r="BI83" i="32"/>
  <c r="BK77" i="32"/>
  <c r="BI74" i="32"/>
  <c r="BD74" i="32"/>
  <c r="BK73" i="32"/>
  <c r="BD73" i="32"/>
  <c r="BJ73" i="32" s="1"/>
  <c r="BN73" i="32" s="1"/>
  <c r="BK72" i="32"/>
  <c r="BD72" i="32"/>
  <c r="BJ72" i="32" s="1"/>
  <c r="BN72" i="32" s="1"/>
  <c r="BK71" i="32"/>
  <c r="BD71" i="32"/>
  <c r="BJ71" i="32" s="1"/>
  <c r="BN71" i="32" s="1"/>
  <c r="BK70" i="32"/>
  <c r="BD70" i="32"/>
  <c r="BJ70" i="32" s="1"/>
  <c r="BN70" i="32" s="1"/>
  <c r="BK68" i="32"/>
  <c r="BK66" i="32"/>
  <c r="BK64" i="32"/>
  <c r="BE62" i="32"/>
  <c r="BK62" i="32" s="1"/>
  <c r="BE60" i="32"/>
  <c r="BK60" i="32" s="1"/>
  <c r="BO60" i="32" s="1"/>
  <c r="BE58" i="32"/>
  <c r="BK58" i="32" s="1"/>
  <c r="BO58" i="32" s="1"/>
  <c r="BI57" i="32"/>
  <c r="BE57" i="32"/>
  <c r="BI54" i="32"/>
  <c r="BE53" i="32"/>
  <c r="BK53" i="32" s="1"/>
  <c r="BO53" i="32" s="1"/>
  <c r="BK46" i="32"/>
  <c r="BQ46" i="32" s="1"/>
  <c r="BG36" i="32"/>
  <c r="BI32" i="32"/>
  <c r="BG32" i="32"/>
  <c r="BJ27" i="32"/>
  <c r="BP27" i="32" s="1"/>
  <c r="BP23" i="32"/>
  <c r="BD17" i="32"/>
  <c r="BJ17" i="32" s="1"/>
  <c r="BL17" i="32" s="1"/>
  <c r="AS13" i="36" l="1"/>
  <c r="BJ74" i="32"/>
  <c r="BN74" i="32" s="1"/>
  <c r="BD77" i="32"/>
  <c r="BJ77" i="32" s="1"/>
  <c r="BN77" i="32" s="1"/>
  <c r="BG99" i="32"/>
  <c r="BD64" i="32"/>
  <c r="BJ64" i="32" s="1"/>
  <c r="BL64" i="32" s="1"/>
  <c r="BD66" i="32"/>
  <c r="BJ66" i="32" s="1"/>
  <c r="BN66" i="32" s="1"/>
  <c r="BD68" i="32"/>
  <c r="BJ68" i="32" s="1"/>
  <c r="BN68" i="32" s="1"/>
  <c r="BD69" i="32"/>
  <c r="BJ69" i="32" s="1"/>
  <c r="BN69" i="32" s="1"/>
  <c r="BD78" i="32"/>
  <c r="BJ78" i="32" s="1"/>
  <c r="BN78" i="32" s="1"/>
  <c r="X95" i="32"/>
  <c r="AB95" i="32" s="1"/>
  <c r="AF95" i="32" s="1"/>
  <c r="AJ95" i="32" s="1"/>
  <c r="AN95" i="32" s="1"/>
  <c r="AR95" i="32" s="1"/>
  <c r="AV95" i="32" s="1"/>
  <c r="BD80" i="32"/>
  <c r="BJ80" i="32" s="1"/>
  <c r="BN80" i="32" s="1"/>
  <c r="X97" i="32"/>
  <c r="AB97" i="32" s="1"/>
  <c r="AF97" i="32" s="1"/>
  <c r="AJ97" i="32" s="1"/>
  <c r="AN97" i="32" s="1"/>
  <c r="AR97" i="32" s="1"/>
  <c r="AV97" i="32" s="1"/>
  <c r="X94" i="32"/>
  <c r="AB94" i="32" s="1"/>
  <c r="AF94" i="32" s="1"/>
  <c r="AJ94" i="32" s="1"/>
  <c r="AN94" i="32" s="1"/>
  <c r="AR94" i="32" s="1"/>
  <c r="AV94" i="32" s="1"/>
  <c r="X93" i="32"/>
  <c r="AB93" i="32" s="1"/>
  <c r="AF93" i="32" s="1"/>
  <c r="AJ93" i="32" s="1"/>
  <c r="AN93" i="32" s="1"/>
  <c r="AR93" i="32" s="1"/>
  <c r="AV93" i="32" s="1"/>
  <c r="X92" i="32"/>
  <c r="AB92" i="32" s="1"/>
  <c r="AF92" i="32" s="1"/>
  <c r="AJ92" i="32" s="1"/>
  <c r="AN92" i="32" s="1"/>
  <c r="AR92" i="32" s="1"/>
  <c r="AV92" i="32" s="1"/>
  <c r="X91" i="32"/>
  <c r="AB91" i="32" s="1"/>
  <c r="AF91" i="32" s="1"/>
  <c r="AJ91" i="32" s="1"/>
  <c r="AN91" i="32" s="1"/>
  <c r="AR91" i="32" s="1"/>
  <c r="AV91" i="32" s="1"/>
  <c r="X90" i="32"/>
  <c r="AB90" i="32" s="1"/>
  <c r="AF90" i="32" s="1"/>
  <c r="AJ90" i="32" s="1"/>
  <c r="AN90" i="32" s="1"/>
  <c r="AR90" i="32" s="1"/>
  <c r="AV90" i="32" s="1"/>
  <c r="X88" i="32"/>
  <c r="AB88" i="32" s="1"/>
  <c r="AF88" i="32" s="1"/>
  <c r="AJ88" i="32" s="1"/>
  <c r="AN88" i="32" s="1"/>
  <c r="AR88" i="32" s="1"/>
  <c r="AV88" i="32" s="1"/>
  <c r="X87" i="32"/>
  <c r="AB87" i="32" s="1"/>
  <c r="AF87" i="32" s="1"/>
  <c r="AJ87" i="32" s="1"/>
  <c r="AN87" i="32" s="1"/>
  <c r="AR87" i="32" s="1"/>
  <c r="AV87" i="32" s="1"/>
  <c r="X86" i="32"/>
  <c r="AB86" i="32" s="1"/>
  <c r="AF86" i="32" s="1"/>
  <c r="AJ86" i="32" s="1"/>
  <c r="AN86" i="32" s="1"/>
  <c r="AR86" i="32" s="1"/>
  <c r="AV86" i="32" s="1"/>
  <c r="X85" i="32"/>
  <c r="AB85" i="32" s="1"/>
  <c r="AF85" i="32" s="1"/>
  <c r="AJ85" i="32" s="1"/>
  <c r="AN85" i="32" s="1"/>
  <c r="AR85" i="32" s="1"/>
  <c r="AV85" i="32" s="1"/>
  <c r="X83" i="32"/>
  <c r="AB83" i="32" s="1"/>
  <c r="AF83" i="32" s="1"/>
  <c r="AJ83" i="32" s="1"/>
  <c r="AN83" i="32" s="1"/>
  <c r="AR83" i="32" s="1"/>
  <c r="AV83" i="32" s="1"/>
  <c r="X82" i="32"/>
  <c r="AB82" i="32" s="1"/>
  <c r="AF82" i="32" s="1"/>
  <c r="AJ82" i="32" s="1"/>
  <c r="AN82" i="32" s="1"/>
  <c r="AR82" i="32" s="1"/>
  <c r="AV82" i="32" s="1"/>
  <c r="X81" i="32"/>
  <c r="AB81" i="32" s="1"/>
  <c r="AF81" i="32" s="1"/>
  <c r="AJ81" i="32" s="1"/>
  <c r="AN81" i="32" s="1"/>
  <c r="AR81" i="32" s="1"/>
  <c r="AV81" i="32" s="1"/>
  <c r="X80" i="32"/>
  <c r="AB80" i="32" s="1"/>
  <c r="AF80" i="32" s="1"/>
  <c r="AJ80" i="32" s="1"/>
  <c r="AN80" i="32" s="1"/>
  <c r="AR80" i="32" s="1"/>
  <c r="AV80" i="32" s="1"/>
  <c r="X79" i="32"/>
  <c r="AB79" i="32" s="1"/>
  <c r="AF79" i="32" s="1"/>
  <c r="AJ79" i="32" s="1"/>
  <c r="AN79" i="32" s="1"/>
  <c r="AR79" i="32" s="1"/>
  <c r="AV79" i="32" s="1"/>
  <c r="X78" i="32"/>
  <c r="AB78" i="32" s="1"/>
  <c r="AF78" i="32" s="1"/>
  <c r="AJ78" i="32" s="1"/>
  <c r="AN78" i="32" s="1"/>
  <c r="AR78" i="32" s="1"/>
  <c r="AV78" i="32" s="1"/>
  <c r="X77" i="32"/>
  <c r="AB77" i="32" s="1"/>
  <c r="AF77" i="32" s="1"/>
  <c r="AJ77" i="32" s="1"/>
  <c r="AN77" i="32" s="1"/>
  <c r="AR77" i="32" s="1"/>
  <c r="AV77" i="32" s="1"/>
  <c r="X74" i="32"/>
  <c r="AB74" i="32" s="1"/>
  <c r="AF74" i="32" s="1"/>
  <c r="AJ74" i="32" s="1"/>
  <c r="AN74" i="32" s="1"/>
  <c r="AR74" i="32" s="1"/>
  <c r="AV74" i="32" s="1"/>
  <c r="X73" i="32"/>
  <c r="AB73" i="32" s="1"/>
  <c r="AF73" i="32" s="1"/>
  <c r="AJ73" i="32" s="1"/>
  <c r="AN73" i="32" s="1"/>
  <c r="AR73" i="32" s="1"/>
  <c r="AV73" i="32" s="1"/>
  <c r="X72" i="32"/>
  <c r="AB72" i="32" s="1"/>
  <c r="AF72" i="32" s="1"/>
  <c r="AJ72" i="32" s="1"/>
  <c r="AN72" i="32" s="1"/>
  <c r="AR72" i="32" s="1"/>
  <c r="AV72" i="32" s="1"/>
  <c r="X71" i="32"/>
  <c r="AB71" i="32" s="1"/>
  <c r="AF71" i="32" s="1"/>
  <c r="AJ71" i="32" s="1"/>
  <c r="AN71" i="32" s="1"/>
  <c r="AR71" i="32" s="1"/>
  <c r="AV71" i="32" s="1"/>
  <c r="X70" i="32"/>
  <c r="AB70" i="32" s="1"/>
  <c r="AF70" i="32" s="1"/>
  <c r="AJ70" i="32" s="1"/>
  <c r="AN70" i="32" s="1"/>
  <c r="AR70" i="32" s="1"/>
  <c r="AV70" i="32" s="1"/>
  <c r="X69" i="32"/>
  <c r="AB69" i="32" s="1"/>
  <c r="AF69" i="32" s="1"/>
  <c r="AJ69" i="32" s="1"/>
  <c r="AN69" i="32" s="1"/>
  <c r="AR69" i="32" s="1"/>
  <c r="AV69" i="32" s="1"/>
  <c r="X68" i="32"/>
  <c r="AB68" i="32" s="1"/>
  <c r="AF68" i="32" s="1"/>
  <c r="AJ68" i="32" s="1"/>
  <c r="AN68" i="32" s="1"/>
  <c r="AR68" i="32" s="1"/>
  <c r="AV68" i="32" s="1"/>
  <c r="BD82" i="32"/>
  <c r="BJ82" i="32" s="1"/>
  <c r="BD88" i="32"/>
  <c r="BJ88" i="32" s="1"/>
  <c r="BN88" i="32" s="1"/>
  <c r="BD86" i="32"/>
  <c r="BJ86" i="32" s="1"/>
  <c r="BN86" i="32" s="1"/>
  <c r="BD91" i="32"/>
  <c r="BD79" i="32"/>
  <c r="BJ79" i="32" s="1"/>
  <c r="BN79" i="32" s="1"/>
  <c r="BD81" i="32"/>
  <c r="BJ81" i="32" s="1"/>
  <c r="BD83" i="32"/>
  <c r="BJ83" i="32" s="1"/>
  <c r="BN83" i="32" s="1"/>
  <c r="BD85" i="32"/>
  <c r="BJ85" i="32" s="1"/>
  <c r="BN85" i="32" s="1"/>
  <c r="BD87" i="32"/>
  <c r="BJ87" i="32" s="1"/>
  <c r="BL87" i="32" s="1"/>
  <c r="BD90" i="32"/>
  <c r="BD94" i="32"/>
  <c r="BJ94" i="32" s="1"/>
  <c r="BN94" i="32" s="1"/>
  <c r="BI99" i="32"/>
  <c r="BK57" i="32"/>
  <c r="BO57" i="32" s="1"/>
  <c r="BK54" i="32"/>
  <c r="BO54" i="32" s="1"/>
  <c r="BG39" i="29"/>
  <c r="BI60" i="29"/>
  <c r="BQ95" i="29"/>
  <c r="BI35" i="29"/>
  <c r="BI89" i="29"/>
  <c r="BK89" i="29" s="1"/>
  <c r="BO89" i="29" s="1"/>
  <c r="BD87" i="29"/>
  <c r="BD88" i="29"/>
  <c r="BD91" i="29"/>
  <c r="BJ91" i="29" s="1"/>
  <c r="BN91" i="29" s="1"/>
  <c r="BD93" i="29"/>
  <c r="BJ93" i="29" s="1"/>
  <c r="BG35" i="29"/>
  <c r="BD81" i="29"/>
  <c r="BJ81" i="29" s="1"/>
  <c r="BD80" i="29"/>
  <c r="BJ80" i="29" s="1"/>
  <c r="BC57" i="29"/>
  <c r="BE57" i="29" s="1"/>
  <c r="BK57" i="29" s="1"/>
  <c r="BO57" i="29" s="1"/>
  <c r="BB35" i="29"/>
  <c r="BI58" i="29"/>
  <c r="BD79" i="29"/>
  <c r="BJ79" i="29" s="1"/>
  <c r="BN79" i="29" s="1"/>
  <c r="BD78" i="29"/>
  <c r="BJ78" i="29" s="1"/>
  <c r="BN78" i="29" s="1"/>
  <c r="BM96" i="29"/>
  <c r="BA96" i="29"/>
  <c r="AZ96" i="29"/>
  <c r="AY96" i="29"/>
  <c r="AX96" i="29"/>
  <c r="AW96" i="29"/>
  <c r="AV96" i="29"/>
  <c r="AU96" i="29"/>
  <c r="AT96" i="29"/>
  <c r="AS96" i="29"/>
  <c r="AR96" i="29"/>
  <c r="AQ96" i="29"/>
  <c r="AP96" i="29"/>
  <c r="AO96" i="29"/>
  <c r="AN96" i="29"/>
  <c r="AM96" i="29"/>
  <c r="AL112" i="29" s="1"/>
  <c r="AL96" i="29"/>
  <c r="AK96" i="29"/>
  <c r="AJ96" i="29"/>
  <c r="AI96" i="29"/>
  <c r="AH96" i="29"/>
  <c r="AG96" i="29"/>
  <c r="AF96" i="29"/>
  <c r="AE96" i="29"/>
  <c r="AD96" i="29"/>
  <c r="AC96" i="29"/>
  <c r="AB96" i="29"/>
  <c r="AA96" i="29"/>
  <c r="Z96" i="29"/>
  <c r="Y96" i="29"/>
  <c r="X96" i="29"/>
  <c r="W96" i="29"/>
  <c r="V96" i="29"/>
  <c r="U96" i="29"/>
  <c r="T96" i="29"/>
  <c r="S96" i="29"/>
  <c r="R96" i="29"/>
  <c r="Q96" i="29"/>
  <c r="P96" i="29"/>
  <c r="O96" i="29"/>
  <c r="N96" i="29"/>
  <c r="M96" i="29"/>
  <c r="L96" i="29"/>
  <c r="K96" i="29"/>
  <c r="J96" i="29"/>
  <c r="I96" i="29"/>
  <c r="H96" i="29"/>
  <c r="G96" i="29"/>
  <c r="F96" i="29"/>
  <c r="E96" i="29"/>
  <c r="D96" i="29"/>
  <c r="BD56" i="29"/>
  <c r="BJ56" i="29" s="1"/>
  <c r="BP56" i="29" s="1"/>
  <c r="BN94" i="29"/>
  <c r="BP93" i="29"/>
  <c r="D102" i="34" s="1"/>
  <c r="H102" i="34" s="1"/>
  <c r="L102" i="34" s="1"/>
  <c r="P102" i="34" s="1"/>
  <c r="T102" i="34" s="1"/>
  <c r="X102" i="34" s="1"/>
  <c r="AB102" i="34" s="1"/>
  <c r="AF102" i="34" s="1"/>
  <c r="AJ102" i="34" s="1"/>
  <c r="AN102" i="34" s="1"/>
  <c r="AR102" i="34" s="1"/>
  <c r="AV102" i="34" s="1"/>
  <c r="BO92" i="29"/>
  <c r="BK92" i="29"/>
  <c r="BK90" i="29"/>
  <c r="BO90" i="29" s="1"/>
  <c r="BN88" i="29"/>
  <c r="BK88" i="29"/>
  <c r="BO88" i="29" s="1"/>
  <c r="BN87" i="29"/>
  <c r="BK87" i="29"/>
  <c r="BO87" i="29" s="1"/>
  <c r="BD86" i="29"/>
  <c r="BJ86" i="29" s="1"/>
  <c r="BN86" i="29" s="1"/>
  <c r="BD85" i="29"/>
  <c r="BJ85" i="29" s="1"/>
  <c r="BL85" i="29" s="1"/>
  <c r="BD84" i="29"/>
  <c r="BJ84" i="29" s="1"/>
  <c r="BN84" i="29" s="1"/>
  <c r="BD83" i="29"/>
  <c r="BJ83" i="29" s="1"/>
  <c r="BN83" i="29" s="1"/>
  <c r="BI82" i="29"/>
  <c r="BD82" i="29"/>
  <c r="BD77" i="29"/>
  <c r="BJ77" i="29" s="1"/>
  <c r="BN77" i="29" s="1"/>
  <c r="BK76" i="29"/>
  <c r="BD76" i="29"/>
  <c r="BJ76" i="29" s="1"/>
  <c r="BN76" i="29" s="1"/>
  <c r="BI75" i="29"/>
  <c r="BD75" i="29"/>
  <c r="BK74" i="29"/>
  <c r="BD74" i="29"/>
  <c r="BJ74" i="29" s="1"/>
  <c r="BN74" i="29" s="1"/>
  <c r="BK73" i="29"/>
  <c r="BD73" i="29"/>
  <c r="BJ73" i="29" s="1"/>
  <c r="BN73" i="29" s="1"/>
  <c r="BK72" i="29"/>
  <c r="BD72" i="29"/>
  <c r="BJ72" i="29" s="1"/>
  <c r="BN72" i="29" s="1"/>
  <c r="BK71" i="29"/>
  <c r="BD71" i="29"/>
  <c r="BJ71" i="29" s="1"/>
  <c r="BN71" i="29" s="1"/>
  <c r="BB70" i="29"/>
  <c r="BD70" i="29" s="1"/>
  <c r="BJ70" i="29" s="1"/>
  <c r="BN70" i="29" s="1"/>
  <c r="BK69" i="29"/>
  <c r="BD69" i="29"/>
  <c r="BJ69" i="29" s="1"/>
  <c r="BN69" i="29" s="1"/>
  <c r="BK68" i="29"/>
  <c r="BD68" i="29"/>
  <c r="BJ68" i="29" s="1"/>
  <c r="BN68" i="29" s="1"/>
  <c r="BK67" i="29"/>
  <c r="BD67" i="29"/>
  <c r="BJ67" i="29" s="1"/>
  <c r="BL67" i="29" s="1"/>
  <c r="BE66" i="29"/>
  <c r="BK66" i="29" s="1"/>
  <c r="BE65" i="29"/>
  <c r="BK65" i="29" s="1"/>
  <c r="BE64" i="29"/>
  <c r="BK64" i="29" s="1"/>
  <c r="BO64" i="29" s="1"/>
  <c r="BE63" i="29"/>
  <c r="BK63" i="29" s="1"/>
  <c r="BO63" i="29" s="1"/>
  <c r="BE62" i="29"/>
  <c r="BK62" i="29" s="1"/>
  <c r="BO62" i="29" s="1"/>
  <c r="BE61" i="29"/>
  <c r="BK61" i="29" s="1"/>
  <c r="BO61" i="29" s="1"/>
  <c r="BE60" i="29"/>
  <c r="BE59" i="29"/>
  <c r="BK59" i="29" s="1"/>
  <c r="BO59" i="29" s="1"/>
  <c r="BE58" i="29"/>
  <c r="BK58" i="29" s="1"/>
  <c r="BO58" i="29" s="1"/>
  <c r="BE55" i="29"/>
  <c r="BK55" i="29" s="1"/>
  <c r="BQ55" i="29" s="1"/>
  <c r="E53" i="34" s="1"/>
  <c r="I53" i="34" s="1"/>
  <c r="M53" i="34" s="1"/>
  <c r="Q53" i="34" s="1"/>
  <c r="U53" i="34" s="1"/>
  <c r="Y53" i="34" s="1"/>
  <c r="AC53" i="34" s="1"/>
  <c r="AG53" i="34" s="1"/>
  <c r="AK53" i="34" s="1"/>
  <c r="AO53" i="34" s="1"/>
  <c r="AS53" i="34" s="1"/>
  <c r="AW53" i="34" s="1"/>
  <c r="BA53" i="34" s="1"/>
  <c r="BE53" i="34" s="1"/>
  <c r="BI53" i="34" s="1"/>
  <c r="BM53" i="34" s="1"/>
  <c r="BQ53" i="34" s="1"/>
  <c r="BU53" i="34" s="1"/>
  <c r="BY53" i="34" s="1"/>
  <c r="CC53" i="34" s="1"/>
  <c r="CG53" i="34" s="1"/>
  <c r="CK53" i="34" s="1"/>
  <c r="CO53" i="34" s="1"/>
  <c r="CS53" i="34" s="1"/>
  <c r="BE54" i="29"/>
  <c r="BK54" i="29" s="1"/>
  <c r="BQ54" i="29" s="1"/>
  <c r="E52" i="34" s="1"/>
  <c r="I52" i="34" s="1"/>
  <c r="M52" i="34" s="1"/>
  <c r="Q52" i="34" s="1"/>
  <c r="U52" i="34" s="1"/>
  <c r="Y52" i="34" s="1"/>
  <c r="AC52" i="34" s="1"/>
  <c r="AG52" i="34" s="1"/>
  <c r="AK52" i="34" s="1"/>
  <c r="AO52" i="34" s="1"/>
  <c r="AS52" i="34" s="1"/>
  <c r="AW52" i="34" s="1"/>
  <c r="BA52" i="34" s="1"/>
  <c r="BE52" i="34" s="1"/>
  <c r="BI52" i="34" s="1"/>
  <c r="BM52" i="34" s="1"/>
  <c r="BQ52" i="34" s="1"/>
  <c r="BU52" i="34" s="1"/>
  <c r="BY52" i="34" s="1"/>
  <c r="CC52" i="34" s="1"/>
  <c r="CG52" i="34" s="1"/>
  <c r="CK52" i="34" s="1"/>
  <c r="CO52" i="34" s="1"/>
  <c r="CS52" i="34" s="1"/>
  <c r="BE53" i="29"/>
  <c r="BK53" i="29" s="1"/>
  <c r="BQ53" i="29" s="1"/>
  <c r="E51" i="34" s="1"/>
  <c r="I51" i="34" s="1"/>
  <c r="M51" i="34" s="1"/>
  <c r="Q51" i="34" s="1"/>
  <c r="U51" i="34" s="1"/>
  <c r="Y51" i="34" s="1"/>
  <c r="AC51" i="34" s="1"/>
  <c r="AG51" i="34" s="1"/>
  <c r="AK51" i="34" s="1"/>
  <c r="AO51" i="34" s="1"/>
  <c r="AS51" i="34" s="1"/>
  <c r="AW51" i="34" s="1"/>
  <c r="BA51" i="34" s="1"/>
  <c r="BE51" i="34" s="1"/>
  <c r="BI51" i="34" s="1"/>
  <c r="BM51" i="34" s="1"/>
  <c r="BQ51" i="34" s="1"/>
  <c r="BU51" i="34" s="1"/>
  <c r="BY51" i="34" s="1"/>
  <c r="CC51" i="34" s="1"/>
  <c r="CG51" i="34" s="1"/>
  <c r="CK51" i="34" s="1"/>
  <c r="CO51" i="34" s="1"/>
  <c r="CS51" i="34" s="1"/>
  <c r="BE52" i="29"/>
  <c r="BK52" i="29" s="1"/>
  <c r="BQ52" i="29" s="1"/>
  <c r="E50" i="34" s="1"/>
  <c r="I50" i="34" s="1"/>
  <c r="M50" i="34" s="1"/>
  <c r="Q50" i="34" s="1"/>
  <c r="U50" i="34" s="1"/>
  <c r="Y50" i="34" s="1"/>
  <c r="AC50" i="34" s="1"/>
  <c r="AG50" i="34" s="1"/>
  <c r="AK50" i="34" s="1"/>
  <c r="AO50" i="34" s="1"/>
  <c r="AS50" i="34" s="1"/>
  <c r="AW50" i="34" s="1"/>
  <c r="BC51" i="29"/>
  <c r="BB51" i="29"/>
  <c r="BE50" i="29"/>
  <c r="BK50" i="29" s="1"/>
  <c r="BQ50" i="29" s="1"/>
  <c r="E48" i="34" s="1"/>
  <c r="I48" i="34" s="1"/>
  <c r="M48" i="34" s="1"/>
  <c r="Q48" i="34" s="1"/>
  <c r="U48" i="34" s="1"/>
  <c r="Y48" i="34" s="1"/>
  <c r="AC48" i="34" s="1"/>
  <c r="AG48" i="34" s="1"/>
  <c r="AK48" i="34" s="1"/>
  <c r="AO48" i="34" s="1"/>
  <c r="AS48" i="34" s="1"/>
  <c r="AW48" i="34" s="1"/>
  <c r="BA48" i="34" s="1"/>
  <c r="BE48" i="34" s="1"/>
  <c r="BI48" i="34" s="1"/>
  <c r="BM48" i="34" s="1"/>
  <c r="BQ48" i="34" s="1"/>
  <c r="BU48" i="34" s="1"/>
  <c r="BY48" i="34" s="1"/>
  <c r="CC48" i="34" s="1"/>
  <c r="CG48" i="34" s="1"/>
  <c r="CK48" i="34" s="1"/>
  <c r="CO48" i="34" s="1"/>
  <c r="CS48" i="34" s="1"/>
  <c r="BK49" i="29"/>
  <c r="BQ49" i="29" s="1"/>
  <c r="E47" i="34" s="1"/>
  <c r="I47" i="34" s="1"/>
  <c r="M47" i="34" s="1"/>
  <c r="Q47" i="34" s="1"/>
  <c r="U47" i="34" s="1"/>
  <c r="Y47" i="34" s="1"/>
  <c r="AC47" i="34" s="1"/>
  <c r="AG47" i="34" s="1"/>
  <c r="AK47" i="34" s="1"/>
  <c r="AO47" i="34" s="1"/>
  <c r="AS47" i="34" s="1"/>
  <c r="AW47" i="34" s="1"/>
  <c r="BA47" i="34" s="1"/>
  <c r="BE47" i="34" s="1"/>
  <c r="BI47" i="34" s="1"/>
  <c r="BM47" i="34" s="1"/>
  <c r="BQ47" i="34" s="1"/>
  <c r="BU47" i="34" s="1"/>
  <c r="BY47" i="34" s="1"/>
  <c r="CC47" i="34" s="1"/>
  <c r="CG47" i="34" s="1"/>
  <c r="CK47" i="34" s="1"/>
  <c r="CO47" i="34" s="1"/>
  <c r="CS47" i="34" s="1"/>
  <c r="BE48" i="29"/>
  <c r="BK48" i="29" s="1"/>
  <c r="BQ48" i="29" s="1"/>
  <c r="E46" i="34" s="1"/>
  <c r="I46" i="34" s="1"/>
  <c r="M46" i="34" s="1"/>
  <c r="Q46" i="34" s="1"/>
  <c r="U46" i="34" s="1"/>
  <c r="Y46" i="34" s="1"/>
  <c r="AC46" i="34" s="1"/>
  <c r="AG46" i="34" s="1"/>
  <c r="AK46" i="34" s="1"/>
  <c r="AO46" i="34" s="1"/>
  <c r="AS46" i="34" s="1"/>
  <c r="AW46" i="34" s="1"/>
  <c r="BA46" i="34" s="1"/>
  <c r="BE46" i="34" s="1"/>
  <c r="BI46" i="34" s="1"/>
  <c r="BM46" i="34" s="1"/>
  <c r="BQ46" i="34" s="1"/>
  <c r="BU46" i="34" s="1"/>
  <c r="BY46" i="34" s="1"/>
  <c r="CC46" i="34" s="1"/>
  <c r="CG46" i="34" s="1"/>
  <c r="CK46" i="34" s="1"/>
  <c r="CO46" i="34" s="1"/>
  <c r="CS46" i="34" s="1"/>
  <c r="BE47" i="29"/>
  <c r="BK47" i="29" s="1"/>
  <c r="BQ47" i="29" s="1"/>
  <c r="E43" i="34" s="1"/>
  <c r="I43" i="34" s="1"/>
  <c r="M43" i="34" s="1"/>
  <c r="Q43" i="34" s="1"/>
  <c r="U43" i="34" s="1"/>
  <c r="Y43" i="34" s="1"/>
  <c r="AC43" i="34" s="1"/>
  <c r="AG43" i="34" s="1"/>
  <c r="AK43" i="34" s="1"/>
  <c r="AO43" i="34" s="1"/>
  <c r="AS43" i="34" s="1"/>
  <c r="AW43" i="34" s="1"/>
  <c r="BE43" i="34" s="1"/>
  <c r="BI43" i="34" s="1"/>
  <c r="BM43" i="34" s="1"/>
  <c r="BQ43" i="34" s="1"/>
  <c r="BU43" i="34" s="1"/>
  <c r="BY43" i="34" s="1"/>
  <c r="CC43" i="34" s="1"/>
  <c r="CG43" i="34" s="1"/>
  <c r="CK43" i="34" s="1"/>
  <c r="CO43" i="34" s="1"/>
  <c r="BE46" i="29"/>
  <c r="BK46" i="29" s="1"/>
  <c r="BQ46" i="29" s="1"/>
  <c r="E44" i="34" s="1"/>
  <c r="I44" i="34" s="1"/>
  <c r="M44" i="34" s="1"/>
  <c r="Q44" i="34" s="1"/>
  <c r="U44" i="34" s="1"/>
  <c r="Y44" i="34" s="1"/>
  <c r="AC44" i="34" s="1"/>
  <c r="AG44" i="34" s="1"/>
  <c r="AK44" i="34" s="1"/>
  <c r="AO44" i="34" s="1"/>
  <c r="AS44" i="34" s="1"/>
  <c r="AW44" i="34" s="1"/>
  <c r="BE44" i="34" s="1"/>
  <c r="BI44" i="34" s="1"/>
  <c r="BM44" i="34" s="1"/>
  <c r="BQ44" i="34" s="1"/>
  <c r="BU44" i="34" s="1"/>
  <c r="BY44" i="34" s="1"/>
  <c r="CC44" i="34" s="1"/>
  <c r="CG44" i="34" s="1"/>
  <c r="CK44" i="34" s="1"/>
  <c r="CO44" i="34" s="1"/>
  <c r="BE45" i="29"/>
  <c r="BK45" i="29" s="1"/>
  <c r="BQ45" i="29" s="1"/>
  <c r="E42" i="34" s="1"/>
  <c r="I42" i="34" s="1"/>
  <c r="M42" i="34" s="1"/>
  <c r="Q42" i="34" s="1"/>
  <c r="U42" i="34" s="1"/>
  <c r="Y42" i="34" s="1"/>
  <c r="AC42" i="34" s="1"/>
  <c r="AG42" i="34" s="1"/>
  <c r="AK42" i="34" s="1"/>
  <c r="AO42" i="34" s="1"/>
  <c r="AS42" i="34" s="1"/>
  <c r="AW42" i="34" s="1"/>
  <c r="BA42" i="34" s="1"/>
  <c r="BE42" i="34" s="1"/>
  <c r="BI42" i="34" s="1"/>
  <c r="BM42" i="34" s="1"/>
  <c r="BQ42" i="34" s="1"/>
  <c r="BU42" i="34" s="1"/>
  <c r="BY42" i="34" s="1"/>
  <c r="CC42" i="34" s="1"/>
  <c r="CG42" i="34" s="1"/>
  <c r="CK42" i="34" s="1"/>
  <c r="CO42" i="34" s="1"/>
  <c r="CS42" i="34" s="1"/>
  <c r="BE44" i="29"/>
  <c r="BK44" i="29" s="1"/>
  <c r="BQ44" i="29" s="1"/>
  <c r="E41" i="34" s="1"/>
  <c r="I41" i="34" s="1"/>
  <c r="M41" i="34" s="1"/>
  <c r="Q41" i="34" s="1"/>
  <c r="U41" i="34" s="1"/>
  <c r="Y41" i="34" s="1"/>
  <c r="AC41" i="34" s="1"/>
  <c r="AG41" i="34" s="1"/>
  <c r="AK41" i="34" s="1"/>
  <c r="AO41" i="34" s="1"/>
  <c r="AS41" i="34" s="1"/>
  <c r="AW41" i="34" s="1"/>
  <c r="BA41" i="34" s="1"/>
  <c r="BE41" i="34" s="1"/>
  <c r="BI41" i="34" s="1"/>
  <c r="BM41" i="34" s="1"/>
  <c r="BQ41" i="34" s="1"/>
  <c r="BU41" i="34" s="1"/>
  <c r="BY41" i="34" s="1"/>
  <c r="CC41" i="34" s="1"/>
  <c r="CG41" i="34" s="1"/>
  <c r="CK41" i="34" s="1"/>
  <c r="CO41" i="34" s="1"/>
  <c r="CS41" i="34" s="1"/>
  <c r="BE43" i="29"/>
  <c r="BE42" i="29"/>
  <c r="BK42" i="29" s="1"/>
  <c r="BQ42" i="29" s="1"/>
  <c r="E39" i="34" s="1"/>
  <c r="I39" i="34" s="1"/>
  <c r="M39" i="34" s="1"/>
  <c r="Q39" i="34" s="1"/>
  <c r="U39" i="34" s="1"/>
  <c r="Y39" i="34" s="1"/>
  <c r="AC39" i="34" s="1"/>
  <c r="AG39" i="34" s="1"/>
  <c r="AK39" i="34" s="1"/>
  <c r="AO39" i="34" s="1"/>
  <c r="AS39" i="34" s="1"/>
  <c r="AW39" i="34" s="1"/>
  <c r="BA39" i="34" s="1"/>
  <c r="BE39" i="34" s="1"/>
  <c r="BI39" i="34" s="1"/>
  <c r="BM39" i="34" s="1"/>
  <c r="BQ39" i="34" s="1"/>
  <c r="BU39" i="34" s="1"/>
  <c r="BY39" i="34" s="1"/>
  <c r="CC39" i="34" s="1"/>
  <c r="CG39" i="34" s="1"/>
  <c r="CK39" i="34" s="1"/>
  <c r="CO39" i="34" s="1"/>
  <c r="CS39" i="34" s="1"/>
  <c r="BE41" i="29"/>
  <c r="BK41" i="29" s="1"/>
  <c r="BQ41" i="29" s="1"/>
  <c r="E38" i="34" s="1"/>
  <c r="I38" i="34" s="1"/>
  <c r="M38" i="34" s="1"/>
  <c r="Q38" i="34" s="1"/>
  <c r="U38" i="34" s="1"/>
  <c r="Y38" i="34" s="1"/>
  <c r="AC38" i="34" s="1"/>
  <c r="AG38" i="34" s="1"/>
  <c r="AK38" i="34" s="1"/>
  <c r="AO38" i="34" s="1"/>
  <c r="AS38" i="34" s="1"/>
  <c r="AW38" i="34" s="1"/>
  <c r="BA38" i="34" s="1"/>
  <c r="BE38" i="34" s="1"/>
  <c r="BI38" i="34" s="1"/>
  <c r="BM38" i="34" s="1"/>
  <c r="BQ38" i="34" s="1"/>
  <c r="BU38" i="34" s="1"/>
  <c r="BY38" i="34" s="1"/>
  <c r="CC38" i="34" s="1"/>
  <c r="CG38" i="34" s="1"/>
  <c r="CK38" i="34" s="1"/>
  <c r="CO38" i="34" s="1"/>
  <c r="CS38" i="34" s="1"/>
  <c r="BE40" i="29"/>
  <c r="BK40" i="29" s="1"/>
  <c r="BQ40" i="29" s="1"/>
  <c r="E37" i="34" s="1"/>
  <c r="I37" i="34" s="1"/>
  <c r="M37" i="34" s="1"/>
  <c r="Q37" i="34" s="1"/>
  <c r="U37" i="34" s="1"/>
  <c r="Y37" i="34" s="1"/>
  <c r="AC37" i="34" s="1"/>
  <c r="AG37" i="34" s="1"/>
  <c r="AK37" i="34" s="1"/>
  <c r="AO37" i="34" s="1"/>
  <c r="AS37" i="34" s="1"/>
  <c r="AW37" i="34" s="1"/>
  <c r="BE37" i="34" s="1"/>
  <c r="BI37" i="34" s="1"/>
  <c r="BM37" i="34" s="1"/>
  <c r="BQ37" i="34" s="1"/>
  <c r="BU37" i="34" s="1"/>
  <c r="BY37" i="34" s="1"/>
  <c r="CC37" i="34" s="1"/>
  <c r="CG37" i="34" s="1"/>
  <c r="CK37" i="34" s="1"/>
  <c r="CO37" i="34" s="1"/>
  <c r="BE39" i="29"/>
  <c r="BK39" i="29" s="1"/>
  <c r="BQ39" i="29" s="1"/>
  <c r="E36" i="34" s="1"/>
  <c r="I36" i="34" s="1"/>
  <c r="M36" i="34" s="1"/>
  <c r="Q36" i="34" s="1"/>
  <c r="U36" i="34" s="1"/>
  <c r="Y36" i="34" s="1"/>
  <c r="AC36" i="34" s="1"/>
  <c r="AG36" i="34" s="1"/>
  <c r="AK36" i="34" s="1"/>
  <c r="AO36" i="34" s="1"/>
  <c r="AS36" i="34" s="1"/>
  <c r="AW36" i="34" s="1"/>
  <c r="BE38" i="29"/>
  <c r="BK38" i="29" s="1"/>
  <c r="BQ38" i="29" s="1"/>
  <c r="E35" i="34" s="1"/>
  <c r="I35" i="34" s="1"/>
  <c r="M35" i="34" s="1"/>
  <c r="Q35" i="34" s="1"/>
  <c r="U35" i="34" s="1"/>
  <c r="Y35" i="34" s="1"/>
  <c r="AC35" i="34" s="1"/>
  <c r="AG35" i="34" s="1"/>
  <c r="AK35" i="34" s="1"/>
  <c r="AO35" i="34" s="1"/>
  <c r="AS35" i="34" s="1"/>
  <c r="AW35" i="34" s="1"/>
  <c r="BD37" i="29"/>
  <c r="BJ37" i="29" s="1"/>
  <c r="BP37" i="29" s="1"/>
  <c r="D34" i="34" s="1"/>
  <c r="H34" i="34" s="1"/>
  <c r="L34" i="34" s="1"/>
  <c r="P34" i="34" s="1"/>
  <c r="T34" i="34" s="1"/>
  <c r="X34" i="34" s="1"/>
  <c r="AB34" i="34" s="1"/>
  <c r="AF34" i="34" s="1"/>
  <c r="AJ34" i="34" s="1"/>
  <c r="AN34" i="34" s="1"/>
  <c r="AR34" i="34" s="1"/>
  <c r="AV34" i="34" s="1"/>
  <c r="BE36" i="29"/>
  <c r="BK36" i="29" s="1"/>
  <c r="BQ36" i="29" s="1"/>
  <c r="E33" i="34" s="1"/>
  <c r="I33" i="34" s="1"/>
  <c r="M33" i="34" s="1"/>
  <c r="Q33" i="34" s="1"/>
  <c r="U33" i="34" s="1"/>
  <c r="Y33" i="34" s="1"/>
  <c r="AC33" i="34" s="1"/>
  <c r="AG33" i="34" s="1"/>
  <c r="AK33" i="34" s="1"/>
  <c r="AO33" i="34" s="1"/>
  <c r="AS33" i="34" s="1"/>
  <c r="AW33" i="34" s="1"/>
  <c r="BE34" i="29"/>
  <c r="BK34" i="29" s="1"/>
  <c r="BQ34" i="29" s="1"/>
  <c r="E31" i="34" s="1"/>
  <c r="I31" i="34" s="1"/>
  <c r="M31" i="34" s="1"/>
  <c r="Q31" i="34" s="1"/>
  <c r="U31" i="34" s="1"/>
  <c r="Y31" i="34" s="1"/>
  <c r="AC31" i="34" s="1"/>
  <c r="AG31" i="34" s="1"/>
  <c r="AK31" i="34" s="1"/>
  <c r="AO31" i="34" s="1"/>
  <c r="AS31" i="34" s="1"/>
  <c r="AW31" i="34" s="1"/>
  <c r="BD33" i="29"/>
  <c r="BJ33" i="29" s="1"/>
  <c r="BP33" i="29" s="1"/>
  <c r="D30" i="34" s="1"/>
  <c r="H30" i="34" s="1"/>
  <c r="L30" i="34" s="1"/>
  <c r="P30" i="34" s="1"/>
  <c r="T30" i="34" s="1"/>
  <c r="X30" i="34" s="1"/>
  <c r="AB30" i="34" s="1"/>
  <c r="AF30" i="34" s="1"/>
  <c r="AJ30" i="34" s="1"/>
  <c r="AN30" i="34" s="1"/>
  <c r="AR30" i="34" s="1"/>
  <c r="AV30" i="34" s="1"/>
  <c r="AZ30" i="34" s="1"/>
  <c r="BD30" i="34" s="1"/>
  <c r="BH30" i="34" s="1"/>
  <c r="BL30" i="34" s="1"/>
  <c r="BP30" i="34" s="1"/>
  <c r="BT30" i="34" s="1"/>
  <c r="BX30" i="34" s="1"/>
  <c r="CB30" i="34" s="1"/>
  <c r="CF30" i="34" s="1"/>
  <c r="CJ30" i="34" s="1"/>
  <c r="CN30" i="34" s="1"/>
  <c r="CR30" i="34" s="1"/>
  <c r="BD32" i="29"/>
  <c r="BJ32" i="29" s="1"/>
  <c r="BP32" i="29" s="1"/>
  <c r="D29" i="34" s="1"/>
  <c r="H29" i="34" s="1"/>
  <c r="L29" i="34" s="1"/>
  <c r="P29" i="34" s="1"/>
  <c r="T29" i="34" s="1"/>
  <c r="X29" i="34" s="1"/>
  <c r="AB29" i="34" s="1"/>
  <c r="AF29" i="34" s="1"/>
  <c r="AJ29" i="34" s="1"/>
  <c r="AN29" i="34" s="1"/>
  <c r="AR29" i="34" s="1"/>
  <c r="AV29" i="34" s="1"/>
  <c r="AZ29" i="34" s="1"/>
  <c r="BD29" i="34" s="1"/>
  <c r="BH29" i="34" s="1"/>
  <c r="BL29" i="34" s="1"/>
  <c r="BP29" i="34" s="1"/>
  <c r="BT29" i="34" s="1"/>
  <c r="BX29" i="34" s="1"/>
  <c r="CB29" i="34" s="1"/>
  <c r="CF29" i="34" s="1"/>
  <c r="CJ29" i="34" s="1"/>
  <c r="CN29" i="34" s="1"/>
  <c r="CR29" i="34" s="1"/>
  <c r="CV29" i="34" s="1"/>
  <c r="BJ31" i="29"/>
  <c r="BP31" i="29" s="1"/>
  <c r="BD30" i="29"/>
  <c r="BJ30" i="29" s="1"/>
  <c r="BP30" i="29" s="1"/>
  <c r="BD29" i="29"/>
  <c r="BJ29" i="29" s="1"/>
  <c r="BP29" i="29" s="1"/>
  <c r="D27" i="34" s="1"/>
  <c r="H27" i="34" s="1"/>
  <c r="L27" i="34" s="1"/>
  <c r="P27" i="34" s="1"/>
  <c r="T27" i="34" s="1"/>
  <c r="X27" i="34" s="1"/>
  <c r="AB27" i="34" s="1"/>
  <c r="AF27" i="34" s="1"/>
  <c r="AJ27" i="34" s="1"/>
  <c r="AN27" i="34" s="1"/>
  <c r="AR27" i="34" s="1"/>
  <c r="AV27" i="34" s="1"/>
  <c r="BD28" i="29"/>
  <c r="BJ28" i="29" s="1"/>
  <c r="BP28" i="29" s="1"/>
  <c r="D26" i="34" s="1"/>
  <c r="H26" i="34" s="1"/>
  <c r="L26" i="34" s="1"/>
  <c r="P26" i="34" s="1"/>
  <c r="T26" i="34" s="1"/>
  <c r="X26" i="34" s="1"/>
  <c r="AB26" i="34" s="1"/>
  <c r="AF26" i="34" s="1"/>
  <c r="AJ26" i="34" s="1"/>
  <c r="AN26" i="34" s="1"/>
  <c r="AR26" i="34" s="1"/>
  <c r="AV26" i="34" s="1"/>
  <c r="AZ26" i="34" s="1"/>
  <c r="BD26" i="34" s="1"/>
  <c r="BH26" i="34" s="1"/>
  <c r="BL26" i="34" s="1"/>
  <c r="BP26" i="34" s="1"/>
  <c r="BT26" i="34" s="1"/>
  <c r="BX26" i="34" s="1"/>
  <c r="CB26" i="34" s="1"/>
  <c r="CF26" i="34" s="1"/>
  <c r="CJ26" i="34" s="1"/>
  <c r="CN26" i="34" s="1"/>
  <c r="CR26" i="34" s="1"/>
  <c r="BP27" i="29"/>
  <c r="D25" i="34" s="1"/>
  <c r="H25" i="34" s="1"/>
  <c r="L25" i="34" s="1"/>
  <c r="P25" i="34" s="1"/>
  <c r="T25" i="34" s="1"/>
  <c r="X25" i="34" s="1"/>
  <c r="AB25" i="34" s="1"/>
  <c r="AF25" i="34" s="1"/>
  <c r="AJ25" i="34" s="1"/>
  <c r="AN25" i="34" s="1"/>
  <c r="AR25" i="34" s="1"/>
  <c r="AV25" i="34" s="1"/>
  <c r="AZ25" i="34" s="1"/>
  <c r="BD25" i="34" s="1"/>
  <c r="BH25" i="34" s="1"/>
  <c r="BL25" i="34" s="1"/>
  <c r="BP25" i="34" s="1"/>
  <c r="BT25" i="34" s="1"/>
  <c r="BX25" i="34" s="1"/>
  <c r="CB25" i="34" s="1"/>
  <c r="CF25" i="34" s="1"/>
  <c r="CJ25" i="34" s="1"/>
  <c r="CN25" i="34" s="1"/>
  <c r="CR25" i="34" s="1"/>
  <c r="BD27" i="29"/>
  <c r="BD26" i="29"/>
  <c r="BJ26" i="29" s="1"/>
  <c r="BP26" i="29" s="1"/>
  <c r="D24" i="34" s="1"/>
  <c r="H24" i="34" s="1"/>
  <c r="L24" i="34" s="1"/>
  <c r="P24" i="34" s="1"/>
  <c r="T24" i="34" s="1"/>
  <c r="X24" i="34" s="1"/>
  <c r="AB24" i="34" s="1"/>
  <c r="AF24" i="34" s="1"/>
  <c r="AJ24" i="34" s="1"/>
  <c r="AN24" i="34" s="1"/>
  <c r="AR24" i="34" s="1"/>
  <c r="AV24" i="34" s="1"/>
  <c r="AZ24" i="34" s="1"/>
  <c r="BD24" i="34" s="1"/>
  <c r="BH24" i="34" s="1"/>
  <c r="BL24" i="34" s="1"/>
  <c r="BP24" i="34" s="1"/>
  <c r="BT24" i="34" s="1"/>
  <c r="BX24" i="34" s="1"/>
  <c r="CB24" i="34" s="1"/>
  <c r="CF24" i="34" s="1"/>
  <c r="CJ24" i="34" s="1"/>
  <c r="CN24" i="34" s="1"/>
  <c r="CR24" i="34" s="1"/>
  <c r="BD25" i="29"/>
  <c r="BJ25" i="29" s="1"/>
  <c r="BP25" i="29" s="1"/>
  <c r="D23" i="34" s="1"/>
  <c r="H23" i="34" s="1"/>
  <c r="L23" i="34" s="1"/>
  <c r="P23" i="34" s="1"/>
  <c r="T23" i="34" s="1"/>
  <c r="X23" i="34" s="1"/>
  <c r="AB23" i="34" s="1"/>
  <c r="AF23" i="34" s="1"/>
  <c r="AJ23" i="34" s="1"/>
  <c r="AN23" i="34" s="1"/>
  <c r="AR23" i="34" s="1"/>
  <c r="AV23" i="34" s="1"/>
  <c r="AZ23" i="34" s="1"/>
  <c r="BD23" i="34" s="1"/>
  <c r="BH23" i="34" s="1"/>
  <c r="BL23" i="34" s="1"/>
  <c r="BP23" i="34" s="1"/>
  <c r="BT23" i="34" s="1"/>
  <c r="BX23" i="34" s="1"/>
  <c r="CB23" i="34" s="1"/>
  <c r="CF23" i="34" s="1"/>
  <c r="CJ23" i="34" s="1"/>
  <c r="CN23" i="34" s="1"/>
  <c r="CR23" i="34" s="1"/>
  <c r="BE24" i="29"/>
  <c r="BE23" i="29"/>
  <c r="BK23" i="29" s="1"/>
  <c r="BQ23" i="29" s="1"/>
  <c r="E21" i="34" s="1"/>
  <c r="I21" i="34" s="1"/>
  <c r="M21" i="34" s="1"/>
  <c r="Q21" i="34" s="1"/>
  <c r="U21" i="34" s="1"/>
  <c r="Y21" i="34" s="1"/>
  <c r="AC21" i="34" s="1"/>
  <c r="AG21" i="34" s="1"/>
  <c r="AK21" i="34" s="1"/>
  <c r="AO21" i="34" s="1"/>
  <c r="AS21" i="34" s="1"/>
  <c r="AW21" i="34" s="1"/>
  <c r="BA21" i="34" s="1"/>
  <c r="BD22" i="29"/>
  <c r="BJ22" i="29" s="1"/>
  <c r="BP22" i="29" s="1"/>
  <c r="D20" i="34" s="1"/>
  <c r="H20" i="34" s="1"/>
  <c r="L20" i="34" s="1"/>
  <c r="P20" i="34" s="1"/>
  <c r="T20" i="34" s="1"/>
  <c r="X20" i="34" s="1"/>
  <c r="AB20" i="34" s="1"/>
  <c r="AF20" i="34" s="1"/>
  <c r="AJ20" i="34" s="1"/>
  <c r="AN20" i="34" s="1"/>
  <c r="AR20" i="34" s="1"/>
  <c r="AV20" i="34" s="1"/>
  <c r="AZ20" i="34" s="1"/>
  <c r="BD20" i="34" s="1"/>
  <c r="BH20" i="34" s="1"/>
  <c r="BL20" i="34" s="1"/>
  <c r="BP20" i="34" s="1"/>
  <c r="BT20" i="34" s="1"/>
  <c r="BX20" i="34" s="1"/>
  <c r="CB20" i="34" s="1"/>
  <c r="CF20" i="34" s="1"/>
  <c r="CJ20" i="34" s="1"/>
  <c r="CN20" i="34" s="1"/>
  <c r="CR20" i="34" s="1"/>
  <c r="BD21" i="29"/>
  <c r="BJ21" i="29" s="1"/>
  <c r="BL21" i="29" s="1"/>
  <c r="BE20" i="29"/>
  <c r="BK20" i="29" s="1"/>
  <c r="BQ20" i="29" s="1"/>
  <c r="E17" i="34" s="1"/>
  <c r="I17" i="34" s="1"/>
  <c r="M17" i="34" s="1"/>
  <c r="Q17" i="34" s="1"/>
  <c r="U17" i="34" s="1"/>
  <c r="Y17" i="34" s="1"/>
  <c r="AC17" i="34" s="1"/>
  <c r="AG17" i="34" s="1"/>
  <c r="AK17" i="34" s="1"/>
  <c r="AO17" i="34" s="1"/>
  <c r="AS17" i="34" s="1"/>
  <c r="AW17" i="34" s="1"/>
  <c r="BD19" i="29"/>
  <c r="BJ19" i="29" s="1"/>
  <c r="BP19" i="29" s="1"/>
  <c r="D16" i="34" s="1"/>
  <c r="H16" i="34" s="1"/>
  <c r="L16" i="34" s="1"/>
  <c r="P16" i="34" s="1"/>
  <c r="T16" i="34" s="1"/>
  <c r="X16" i="34" s="1"/>
  <c r="AB16" i="34" s="1"/>
  <c r="AF16" i="34" s="1"/>
  <c r="AJ16" i="34" s="1"/>
  <c r="AN16" i="34" s="1"/>
  <c r="AR16" i="34" s="1"/>
  <c r="AV16" i="34" s="1"/>
  <c r="BH16" i="34" s="1"/>
  <c r="BL16" i="34" s="1"/>
  <c r="BP16" i="34" s="1"/>
  <c r="BT16" i="34" s="1"/>
  <c r="BX16" i="34" s="1"/>
  <c r="CB16" i="34" s="1"/>
  <c r="CF16" i="34" s="1"/>
  <c r="CJ16" i="34" s="1"/>
  <c r="CN16" i="34" s="1"/>
  <c r="BD18" i="29"/>
  <c r="BJ18" i="29" s="1"/>
  <c r="BP18" i="29" s="1"/>
  <c r="D14" i="34" s="1"/>
  <c r="H14" i="34" s="1"/>
  <c r="L14" i="34" s="1"/>
  <c r="P14" i="34" s="1"/>
  <c r="T14" i="34" s="1"/>
  <c r="X14" i="34" s="1"/>
  <c r="AB14" i="34" s="1"/>
  <c r="AF14" i="34" s="1"/>
  <c r="AJ14" i="34" s="1"/>
  <c r="AN14" i="34" s="1"/>
  <c r="AR14" i="34" s="1"/>
  <c r="AV14" i="34" s="1"/>
  <c r="BD14" i="34" s="1"/>
  <c r="BH14" i="34" s="1"/>
  <c r="BL14" i="34" s="1"/>
  <c r="BP14" i="34" s="1"/>
  <c r="BT14" i="34" s="1"/>
  <c r="BX14" i="34" s="1"/>
  <c r="CB14" i="34" s="1"/>
  <c r="CF14" i="34" s="1"/>
  <c r="CJ14" i="34" s="1"/>
  <c r="CN14" i="34" s="1"/>
  <c r="BE16" i="29"/>
  <c r="BK16" i="29" s="1"/>
  <c r="BQ16" i="29" s="1"/>
  <c r="E12" i="34" s="1"/>
  <c r="BD15" i="29"/>
  <c r="BJ15" i="29" s="1"/>
  <c r="BP15" i="29" s="1"/>
  <c r="D11" i="34" s="1"/>
  <c r="H11" i="34" s="1"/>
  <c r="L11" i="34" s="1"/>
  <c r="P11" i="34" s="1"/>
  <c r="T11" i="34" s="1"/>
  <c r="X11" i="34" s="1"/>
  <c r="AB11" i="34" s="1"/>
  <c r="AF11" i="34" s="1"/>
  <c r="AJ11" i="34" s="1"/>
  <c r="AN11" i="34" s="1"/>
  <c r="AR11" i="34" s="1"/>
  <c r="AV11" i="34" s="1"/>
  <c r="AZ11" i="34" s="1"/>
  <c r="BD11" i="34" s="1"/>
  <c r="BH11" i="34" s="1"/>
  <c r="BL11" i="34" s="1"/>
  <c r="BP11" i="34" s="1"/>
  <c r="BT11" i="34" s="1"/>
  <c r="BX11" i="34" s="1"/>
  <c r="CB11" i="34" s="1"/>
  <c r="CF11" i="34" s="1"/>
  <c r="CJ11" i="34" s="1"/>
  <c r="CN11" i="34" s="1"/>
  <c r="CR11" i="34" s="1"/>
  <c r="BD14" i="29"/>
  <c r="BJ14" i="29" s="1"/>
  <c r="BP14" i="29" s="1"/>
  <c r="D10" i="34" s="1"/>
  <c r="H10" i="34" s="1"/>
  <c r="L10" i="34" s="1"/>
  <c r="P10" i="34" s="1"/>
  <c r="T10" i="34" s="1"/>
  <c r="X10" i="34" s="1"/>
  <c r="AB10" i="34" s="1"/>
  <c r="AF10" i="34" s="1"/>
  <c r="AJ10" i="34" s="1"/>
  <c r="AN10" i="34" s="1"/>
  <c r="AR10" i="34" s="1"/>
  <c r="AV10" i="34" s="1"/>
  <c r="BD13" i="29"/>
  <c r="BJ13" i="29" s="1"/>
  <c r="BP13" i="29" s="1"/>
  <c r="D9" i="34" s="1"/>
  <c r="H9" i="34" s="1"/>
  <c r="L9" i="34" s="1"/>
  <c r="P9" i="34" s="1"/>
  <c r="T9" i="34" s="1"/>
  <c r="X9" i="34" s="1"/>
  <c r="AB9" i="34" s="1"/>
  <c r="AF9" i="34" s="1"/>
  <c r="AJ9" i="34" s="1"/>
  <c r="AN9" i="34" s="1"/>
  <c r="AR9" i="34" s="1"/>
  <c r="AV9" i="34" s="1"/>
  <c r="BD12" i="29"/>
  <c r="BJ12" i="29" s="1"/>
  <c r="BP12" i="29" s="1"/>
  <c r="BD11" i="29"/>
  <c r="BJ11" i="29" s="1"/>
  <c r="BP11" i="29" s="1"/>
  <c r="D8" i="34" s="1"/>
  <c r="H8" i="34" s="1"/>
  <c r="L8" i="34" s="1"/>
  <c r="P8" i="34" s="1"/>
  <c r="T8" i="34" s="1"/>
  <c r="X8" i="34" s="1"/>
  <c r="AB8" i="34" s="1"/>
  <c r="AF8" i="34" s="1"/>
  <c r="AJ8" i="34" s="1"/>
  <c r="AN8" i="34" s="1"/>
  <c r="AR8" i="34" s="1"/>
  <c r="AV8" i="34" s="1"/>
  <c r="AZ8" i="34" s="1"/>
  <c r="BC10" i="29"/>
  <c r="BD10" i="29" s="1"/>
  <c r="BB96" i="29" l="1"/>
  <c r="BD8" i="34"/>
  <c r="AZ105" i="34"/>
  <c r="I12" i="34"/>
  <c r="H17" i="36"/>
  <c r="L17" i="36" s="1"/>
  <c r="P17" i="36" s="1"/>
  <c r="T17" i="36" s="1"/>
  <c r="X17" i="36" s="1"/>
  <c r="AB17" i="36" s="1"/>
  <c r="AF17" i="36" s="1"/>
  <c r="AJ17" i="36" s="1"/>
  <c r="AN17" i="36" s="1"/>
  <c r="AR17" i="36" s="1"/>
  <c r="CR16" i="34"/>
  <c r="CV16" i="34" s="1"/>
  <c r="BE21" i="34"/>
  <c r="CV26" i="34"/>
  <c r="D27" i="36"/>
  <c r="H27" i="36" s="1"/>
  <c r="L27" i="36" s="1"/>
  <c r="P27" i="36" s="1"/>
  <c r="T27" i="36" s="1"/>
  <c r="X27" i="36" s="1"/>
  <c r="AB27" i="36" s="1"/>
  <c r="AF27" i="36" s="1"/>
  <c r="AJ27" i="36" s="1"/>
  <c r="AN27" i="36" s="1"/>
  <c r="AR27" i="36" s="1"/>
  <c r="BD27" i="36" s="1"/>
  <c r="AV27" i="36" s="1"/>
  <c r="I40" i="36"/>
  <c r="M40" i="36" s="1"/>
  <c r="Q40" i="36" s="1"/>
  <c r="U40" i="36" s="1"/>
  <c r="Y40" i="36" s="1"/>
  <c r="AC40" i="36" s="1"/>
  <c r="AG40" i="36" s="1"/>
  <c r="AK40" i="36" s="1"/>
  <c r="AO40" i="36" s="1"/>
  <c r="AS40" i="36" s="1"/>
  <c r="BE40" i="36" s="1"/>
  <c r="AW40" i="36" s="1"/>
  <c r="BA40" i="36" s="1"/>
  <c r="CS37" i="34"/>
  <c r="CW37" i="34" s="1"/>
  <c r="CW39" i="34"/>
  <c r="E42" i="36"/>
  <c r="I42" i="36" s="1"/>
  <c r="M42" i="36" s="1"/>
  <c r="Q42" i="36" s="1"/>
  <c r="U42" i="36" s="1"/>
  <c r="Y42" i="36" s="1"/>
  <c r="AC42" i="36" s="1"/>
  <c r="AG42" i="36" s="1"/>
  <c r="AK42" i="36" s="1"/>
  <c r="AO42" i="36" s="1"/>
  <c r="AS42" i="36" s="1"/>
  <c r="BE42" i="36" s="1"/>
  <c r="AW42" i="36" s="1"/>
  <c r="BA42" i="36" s="1"/>
  <c r="CW41" i="34"/>
  <c r="E44" i="36"/>
  <c r="I44" i="36" s="1"/>
  <c r="M44" i="36" s="1"/>
  <c r="Q44" i="36" s="1"/>
  <c r="U44" i="36" s="1"/>
  <c r="Y44" i="36" s="1"/>
  <c r="AC44" i="36" s="1"/>
  <c r="AG44" i="36" s="1"/>
  <c r="AK44" i="36" s="1"/>
  <c r="AO44" i="36" s="1"/>
  <c r="AS44" i="36" s="1"/>
  <c r="BE44" i="36" s="1"/>
  <c r="AW44" i="36" s="1"/>
  <c r="BA44" i="36" s="1"/>
  <c r="I46" i="36"/>
  <c r="M46" i="36" s="1"/>
  <c r="Q46" i="36" s="1"/>
  <c r="U46" i="36" s="1"/>
  <c r="Y46" i="36" s="1"/>
  <c r="AC46" i="36" s="1"/>
  <c r="AG46" i="36" s="1"/>
  <c r="AK46" i="36" s="1"/>
  <c r="AO46" i="36" s="1"/>
  <c r="AS46" i="36" s="1"/>
  <c r="BE46" i="36" s="1"/>
  <c r="AW46" i="36" s="1"/>
  <c r="BA46" i="36" s="1"/>
  <c r="CS44" i="34"/>
  <c r="CW44" i="34" s="1"/>
  <c r="CW46" i="34"/>
  <c r="E49" i="36"/>
  <c r="I49" i="36" s="1"/>
  <c r="M49" i="36" s="1"/>
  <c r="Q49" i="36" s="1"/>
  <c r="U49" i="36" s="1"/>
  <c r="Y49" i="36" s="1"/>
  <c r="AC49" i="36" s="1"/>
  <c r="AG49" i="36" s="1"/>
  <c r="AK49" i="36" s="1"/>
  <c r="AO49" i="36" s="1"/>
  <c r="AS49" i="36" s="1"/>
  <c r="BE49" i="36" s="1"/>
  <c r="AW49" i="36" s="1"/>
  <c r="BA49" i="36" s="1"/>
  <c r="CW48" i="34"/>
  <c r="E51" i="36"/>
  <c r="I51" i="36" s="1"/>
  <c r="M51" i="36" s="1"/>
  <c r="Q51" i="36" s="1"/>
  <c r="U51" i="36" s="1"/>
  <c r="Y51" i="36" s="1"/>
  <c r="AC51" i="36" s="1"/>
  <c r="AG51" i="36" s="1"/>
  <c r="AK51" i="36" s="1"/>
  <c r="AO51" i="36" s="1"/>
  <c r="AS51" i="36" s="1"/>
  <c r="BE51" i="36" s="1"/>
  <c r="AW51" i="36" s="1"/>
  <c r="BA51" i="36" s="1"/>
  <c r="CW51" i="34"/>
  <c r="E55" i="36"/>
  <c r="I55" i="36" s="1"/>
  <c r="M55" i="36" s="1"/>
  <c r="Q55" i="36" s="1"/>
  <c r="U55" i="36" s="1"/>
  <c r="Y55" i="36" s="1"/>
  <c r="AC55" i="36" s="1"/>
  <c r="AG55" i="36" s="1"/>
  <c r="AK55" i="36" s="1"/>
  <c r="AO55" i="36" s="1"/>
  <c r="AS55" i="36" s="1"/>
  <c r="BE55" i="36" s="1"/>
  <c r="AW55" i="36" s="1"/>
  <c r="BA55" i="36" s="1"/>
  <c r="CW53" i="34"/>
  <c r="E57" i="36"/>
  <c r="BD35" i="29"/>
  <c r="BJ35" i="29" s="1"/>
  <c r="BP35" i="29" s="1"/>
  <c r="D32" i="34" s="1"/>
  <c r="H32" i="34" s="1"/>
  <c r="L32" i="34" s="1"/>
  <c r="P32" i="34" s="1"/>
  <c r="T32" i="34" s="1"/>
  <c r="X32" i="34" s="1"/>
  <c r="AB32" i="34" s="1"/>
  <c r="AF32" i="34" s="1"/>
  <c r="AJ32" i="34" s="1"/>
  <c r="AN32" i="34" s="1"/>
  <c r="AR32" i="34" s="1"/>
  <c r="AV32" i="34" s="1"/>
  <c r="BD32" i="34" s="1"/>
  <c r="BH32" i="34" s="1"/>
  <c r="BL32" i="34" s="1"/>
  <c r="BP32" i="34" s="1"/>
  <c r="BT32" i="34" s="1"/>
  <c r="BX32" i="34" s="1"/>
  <c r="CB32" i="34" s="1"/>
  <c r="CF32" i="34" s="1"/>
  <c r="CJ32" i="34" s="1"/>
  <c r="CN32" i="34" s="1"/>
  <c r="CV11" i="34"/>
  <c r="D12" i="36"/>
  <c r="H15" i="36"/>
  <c r="L15" i="36" s="1"/>
  <c r="P15" i="36" s="1"/>
  <c r="T15" i="36" s="1"/>
  <c r="X15" i="36" s="1"/>
  <c r="AB15" i="36" s="1"/>
  <c r="AF15" i="36" s="1"/>
  <c r="AJ15" i="36" s="1"/>
  <c r="AN15" i="36" s="1"/>
  <c r="AR15" i="36" s="1"/>
  <c r="CR14" i="34"/>
  <c r="CV14" i="34" s="1"/>
  <c r="CV20" i="34"/>
  <c r="D21" i="36"/>
  <c r="H21" i="36" s="1"/>
  <c r="L21" i="36" s="1"/>
  <c r="P21" i="36" s="1"/>
  <c r="T21" i="36" s="1"/>
  <c r="X21" i="36" s="1"/>
  <c r="AB21" i="36" s="1"/>
  <c r="AF21" i="36" s="1"/>
  <c r="AJ21" i="36" s="1"/>
  <c r="AN21" i="36" s="1"/>
  <c r="AR21" i="36" s="1"/>
  <c r="BD21" i="36" s="1"/>
  <c r="AV21" i="36" s="1"/>
  <c r="AZ21" i="36" s="1"/>
  <c r="CV24" i="34"/>
  <c r="D25" i="36"/>
  <c r="H25" i="36" s="1"/>
  <c r="L25" i="36" s="1"/>
  <c r="P25" i="36" s="1"/>
  <c r="T25" i="36" s="1"/>
  <c r="X25" i="36" s="1"/>
  <c r="AB25" i="36" s="1"/>
  <c r="AF25" i="36" s="1"/>
  <c r="AJ25" i="36" s="1"/>
  <c r="AN25" i="36" s="1"/>
  <c r="AR25" i="36" s="1"/>
  <c r="BD25" i="36" s="1"/>
  <c r="AV25" i="36" s="1"/>
  <c r="AZ25" i="36" s="1"/>
  <c r="CV25" i="34"/>
  <c r="D26" i="36"/>
  <c r="CV30" i="34"/>
  <c r="D32" i="36"/>
  <c r="H32" i="36" s="1"/>
  <c r="L32" i="36" s="1"/>
  <c r="P32" i="36" s="1"/>
  <c r="T32" i="36" s="1"/>
  <c r="X32" i="36" s="1"/>
  <c r="AB32" i="36" s="1"/>
  <c r="AF32" i="36" s="1"/>
  <c r="AJ32" i="36" s="1"/>
  <c r="AN32" i="36" s="1"/>
  <c r="AR32" i="36" s="1"/>
  <c r="BD32" i="36" s="1"/>
  <c r="AV32" i="36" s="1"/>
  <c r="AZ32" i="36" s="1"/>
  <c r="CW38" i="34"/>
  <c r="E41" i="36"/>
  <c r="I41" i="36" s="1"/>
  <c r="M41" i="36" s="1"/>
  <c r="Q41" i="36" s="1"/>
  <c r="U41" i="36" s="1"/>
  <c r="Y41" i="36" s="1"/>
  <c r="AC41" i="36" s="1"/>
  <c r="AG41" i="36" s="1"/>
  <c r="AK41" i="36" s="1"/>
  <c r="AO41" i="36" s="1"/>
  <c r="AS41" i="36" s="1"/>
  <c r="BE41" i="36" s="1"/>
  <c r="AW41" i="36" s="1"/>
  <c r="BA41" i="36" s="1"/>
  <c r="CW42" i="34"/>
  <c r="E45" i="36"/>
  <c r="I45" i="36" s="1"/>
  <c r="M45" i="36" s="1"/>
  <c r="Q45" i="36" s="1"/>
  <c r="U45" i="36" s="1"/>
  <c r="Y45" i="36" s="1"/>
  <c r="AC45" i="36" s="1"/>
  <c r="AG45" i="36" s="1"/>
  <c r="AK45" i="36" s="1"/>
  <c r="AO45" i="36" s="1"/>
  <c r="AS45" i="36" s="1"/>
  <c r="BE45" i="36" s="1"/>
  <c r="AW45" i="36" s="1"/>
  <c r="BA45" i="36" s="1"/>
  <c r="CS43" i="34"/>
  <c r="CW43" i="34" s="1"/>
  <c r="CW47" i="34"/>
  <c r="E50" i="36"/>
  <c r="I50" i="36" s="1"/>
  <c r="M50" i="36" s="1"/>
  <c r="Q50" i="36" s="1"/>
  <c r="U50" i="36" s="1"/>
  <c r="Y50" i="36" s="1"/>
  <c r="AC50" i="36" s="1"/>
  <c r="AG50" i="36" s="1"/>
  <c r="AK50" i="36" s="1"/>
  <c r="AO50" i="36" s="1"/>
  <c r="AS50" i="36" s="1"/>
  <c r="BE50" i="36" s="1"/>
  <c r="AW50" i="36" s="1"/>
  <c r="BA50" i="36" s="1"/>
  <c r="CW52" i="34"/>
  <c r="E56" i="36"/>
  <c r="I56" i="36" s="1"/>
  <c r="M56" i="36" s="1"/>
  <c r="Q56" i="36" s="1"/>
  <c r="U56" i="36" s="1"/>
  <c r="Y56" i="36" s="1"/>
  <c r="AC56" i="36" s="1"/>
  <c r="AG56" i="36" s="1"/>
  <c r="AK56" i="36" s="1"/>
  <c r="AO56" i="36" s="1"/>
  <c r="AS56" i="36" s="1"/>
  <c r="BE56" i="36" s="1"/>
  <c r="AW56" i="36" s="1"/>
  <c r="BA56" i="36" s="1"/>
  <c r="BK60" i="29"/>
  <c r="BO60" i="29" s="1"/>
  <c r="BJ75" i="29"/>
  <c r="BN75" i="29" s="1"/>
  <c r="BN96" i="29" s="1"/>
  <c r="BJ82" i="29"/>
  <c r="BN82" i="29" s="1"/>
  <c r="G112" i="29"/>
  <c r="J112" i="29"/>
  <c r="O112" i="29"/>
  <c r="P112" i="29"/>
  <c r="R112" i="29"/>
  <c r="U112" i="29"/>
  <c r="W112" i="29"/>
  <c r="Z112" i="29"/>
  <c r="AE112" i="29"/>
  <c r="AF112" i="29"/>
  <c r="AH112" i="29"/>
  <c r="AK112" i="29"/>
  <c r="AM112" i="29"/>
  <c r="AP112" i="29"/>
  <c r="AU112" i="29"/>
  <c r="AV112" i="29"/>
  <c r="AY112" i="29"/>
  <c r="CV23" i="34"/>
  <c r="D24" i="36"/>
  <c r="D9" i="32"/>
  <c r="H9" i="32" s="1"/>
  <c r="L9" i="32" s="1"/>
  <c r="P9" i="32" s="1"/>
  <c r="T9" i="32" s="1"/>
  <c r="X9" i="32" s="1"/>
  <c r="AB9" i="32" s="1"/>
  <c r="AF9" i="32" s="1"/>
  <c r="AJ9" i="32" s="1"/>
  <c r="AN9" i="32" s="1"/>
  <c r="AR9" i="32" s="1"/>
  <c r="AV9" i="32" s="1"/>
  <c r="D9" i="33"/>
  <c r="D11" i="32"/>
  <c r="H11" i="32" s="1"/>
  <c r="L11" i="32" s="1"/>
  <c r="P11" i="32" s="1"/>
  <c r="T11" i="32" s="1"/>
  <c r="X11" i="32" s="1"/>
  <c r="AB11" i="32" s="1"/>
  <c r="AF11" i="32" s="1"/>
  <c r="AJ11" i="32" s="1"/>
  <c r="AN11" i="32" s="1"/>
  <c r="AR11" i="32" s="1"/>
  <c r="AV11" i="32" s="1"/>
  <c r="D11" i="33"/>
  <c r="D14" i="32"/>
  <c r="H14" i="32" s="1"/>
  <c r="L14" i="32" s="1"/>
  <c r="P14" i="32" s="1"/>
  <c r="T14" i="32" s="1"/>
  <c r="X14" i="32" s="1"/>
  <c r="AB14" i="32" s="1"/>
  <c r="AF14" i="32" s="1"/>
  <c r="AJ14" i="32" s="1"/>
  <c r="AN14" i="32" s="1"/>
  <c r="AR14" i="32" s="1"/>
  <c r="AV14" i="32" s="1"/>
  <c r="D14" i="33"/>
  <c r="E16" i="32"/>
  <c r="BE16" i="32" s="1"/>
  <c r="BK16" i="32" s="1"/>
  <c r="BQ16" i="32" s="1"/>
  <c r="E16" i="33"/>
  <c r="D18" i="32"/>
  <c r="H18" i="32" s="1"/>
  <c r="L18" i="32" s="1"/>
  <c r="P18" i="32" s="1"/>
  <c r="T18" i="32" s="1"/>
  <c r="X18" i="32" s="1"/>
  <c r="AB18" i="32" s="1"/>
  <c r="AF18" i="32" s="1"/>
  <c r="AJ18" i="32" s="1"/>
  <c r="AN18" i="32" s="1"/>
  <c r="AR18" i="32" s="1"/>
  <c r="AV18" i="32" s="1"/>
  <c r="D19" i="33"/>
  <c r="D22" i="32"/>
  <c r="H22" i="32" s="1"/>
  <c r="L22" i="32" s="1"/>
  <c r="P22" i="32" s="1"/>
  <c r="T22" i="32" s="1"/>
  <c r="X22" i="32" s="1"/>
  <c r="AB22" i="32" s="1"/>
  <c r="AF22" i="32" s="1"/>
  <c r="AJ22" i="32" s="1"/>
  <c r="AN22" i="32" s="1"/>
  <c r="AR22" i="32" s="1"/>
  <c r="AV22" i="32" s="1"/>
  <c r="D23" i="33"/>
  <c r="D23" i="32"/>
  <c r="BD23" i="32" s="1"/>
  <c r="D24" i="33"/>
  <c r="D25" i="32"/>
  <c r="H25" i="32" s="1"/>
  <c r="L25" i="32" s="1"/>
  <c r="P25" i="32" s="1"/>
  <c r="T25" i="32" s="1"/>
  <c r="X25" i="32" s="1"/>
  <c r="AB25" i="32" s="1"/>
  <c r="AF25" i="32" s="1"/>
  <c r="AJ25" i="32" s="1"/>
  <c r="AN25" i="32" s="1"/>
  <c r="AR25" i="32" s="1"/>
  <c r="AV25" i="32" s="1"/>
  <c r="D26" i="33"/>
  <c r="D27" i="32"/>
  <c r="H27" i="32" s="1"/>
  <c r="L27" i="32" s="1"/>
  <c r="P27" i="32" s="1"/>
  <c r="T27" i="32" s="1"/>
  <c r="X27" i="32" s="1"/>
  <c r="AB27" i="32" s="1"/>
  <c r="AF27" i="32" s="1"/>
  <c r="AJ27" i="32" s="1"/>
  <c r="AN27" i="32" s="1"/>
  <c r="AR27" i="32" s="1"/>
  <c r="AV27" i="32" s="1"/>
  <c r="D28" i="33"/>
  <c r="H28" i="33" s="1"/>
  <c r="L28" i="33" s="1"/>
  <c r="P28" i="33" s="1"/>
  <c r="T28" i="33" s="1"/>
  <c r="X28" i="33" s="1"/>
  <c r="AB28" i="33" s="1"/>
  <c r="AF28" i="33" s="1"/>
  <c r="AJ28" i="33" s="1"/>
  <c r="AN28" i="33" s="1"/>
  <c r="AR28" i="33" s="1"/>
  <c r="AV28" i="33" s="1"/>
  <c r="AZ28" i="33" s="1"/>
  <c r="BD28" i="33" s="1"/>
  <c r="BH28" i="33" s="1"/>
  <c r="BL28" i="33" s="1"/>
  <c r="BP28" i="33" s="1"/>
  <c r="D30" i="32"/>
  <c r="H30" i="32" s="1"/>
  <c r="L30" i="32" s="1"/>
  <c r="P30" i="32" s="1"/>
  <c r="T30" i="32" s="1"/>
  <c r="X30" i="32" s="1"/>
  <c r="AB30" i="32" s="1"/>
  <c r="AF30" i="32" s="1"/>
  <c r="AJ30" i="32" s="1"/>
  <c r="AN30" i="32" s="1"/>
  <c r="AR30" i="32" s="1"/>
  <c r="AV30" i="32" s="1"/>
  <c r="D31" i="33"/>
  <c r="D34" i="32"/>
  <c r="H34" i="32" s="1"/>
  <c r="L34" i="32" s="1"/>
  <c r="P34" i="32" s="1"/>
  <c r="T34" i="32" s="1"/>
  <c r="X34" i="32" s="1"/>
  <c r="AB34" i="32" s="1"/>
  <c r="AF34" i="32" s="1"/>
  <c r="AJ34" i="32" s="1"/>
  <c r="AN34" i="32" s="1"/>
  <c r="AR34" i="32" s="1"/>
  <c r="AV34" i="32" s="1"/>
  <c r="D35" i="33"/>
  <c r="E36" i="32"/>
  <c r="I36" i="32" s="1"/>
  <c r="M36" i="32" s="1"/>
  <c r="Q36" i="32" s="1"/>
  <c r="U36" i="32" s="1"/>
  <c r="Y36" i="32" s="1"/>
  <c r="E37" i="33"/>
  <c r="E38" i="32"/>
  <c r="BE38" i="32" s="1"/>
  <c r="BK38" i="32" s="1"/>
  <c r="BQ38" i="32" s="1"/>
  <c r="E39" i="33"/>
  <c r="E42" i="32"/>
  <c r="BE42" i="32" s="1"/>
  <c r="BK42" i="32" s="1"/>
  <c r="BQ42" i="32" s="1"/>
  <c r="E43" i="33"/>
  <c r="E44" i="32"/>
  <c r="BE44" i="32" s="1"/>
  <c r="BK44" i="32" s="1"/>
  <c r="BQ44" i="32" s="1"/>
  <c r="E44" i="33"/>
  <c r="E46" i="32"/>
  <c r="I46" i="32" s="1"/>
  <c r="M46" i="32" s="1"/>
  <c r="Q46" i="32" s="1"/>
  <c r="U46" i="32" s="1"/>
  <c r="Y46" i="32" s="1"/>
  <c r="AC46" i="32" s="1"/>
  <c r="AG46" i="32" s="1"/>
  <c r="AK46" i="32" s="1"/>
  <c r="AO46" i="32" s="1"/>
  <c r="AS46" i="32" s="1"/>
  <c r="AW46" i="32" s="1"/>
  <c r="E47" i="33"/>
  <c r="I47" i="33" s="1"/>
  <c r="M47" i="33" s="1"/>
  <c r="Q47" i="33" s="1"/>
  <c r="U47" i="33" s="1"/>
  <c r="Y47" i="33" s="1"/>
  <c r="AC47" i="33" s="1"/>
  <c r="AG47" i="33" s="1"/>
  <c r="AK47" i="33" s="1"/>
  <c r="AO47" i="33" s="1"/>
  <c r="AS47" i="33" s="1"/>
  <c r="AW47" i="33" s="1"/>
  <c r="BA47" i="33" s="1"/>
  <c r="BE47" i="33" s="1"/>
  <c r="BI47" i="33" s="1"/>
  <c r="BM47" i="33" s="1"/>
  <c r="BQ47" i="33" s="1"/>
  <c r="E49" i="32"/>
  <c r="BE49" i="32" s="1"/>
  <c r="BK49" i="32" s="1"/>
  <c r="BQ49" i="32" s="1"/>
  <c r="E50" i="33"/>
  <c r="E51" i="32"/>
  <c r="BE51" i="32" s="1"/>
  <c r="BK51" i="32" s="1"/>
  <c r="BQ51" i="32" s="1"/>
  <c r="E52" i="33"/>
  <c r="D96" i="32"/>
  <c r="BD96" i="32" s="1"/>
  <c r="BJ96" i="32" s="1"/>
  <c r="D97" i="33"/>
  <c r="D32" i="32"/>
  <c r="H32" i="32" s="1"/>
  <c r="L32" i="32" s="1"/>
  <c r="P32" i="32" s="1"/>
  <c r="T32" i="32" s="1"/>
  <c r="X32" i="32" s="1"/>
  <c r="AB32" i="32" s="1"/>
  <c r="AF32" i="32" s="1"/>
  <c r="AJ32" i="32" s="1"/>
  <c r="AN32" i="32" s="1"/>
  <c r="AR32" i="32" s="1"/>
  <c r="AV32" i="32" s="1"/>
  <c r="D33" i="33"/>
  <c r="D8" i="32"/>
  <c r="H8" i="32" s="1"/>
  <c r="L8" i="32" s="1"/>
  <c r="P8" i="32" s="1"/>
  <c r="T8" i="32" s="1"/>
  <c r="X8" i="32" s="1"/>
  <c r="AB8" i="32" s="1"/>
  <c r="AF8" i="32" s="1"/>
  <c r="AJ8" i="32" s="1"/>
  <c r="AN8" i="32" s="1"/>
  <c r="AR8" i="32" s="1"/>
  <c r="AV8" i="32" s="1"/>
  <c r="D8" i="33"/>
  <c r="D10" i="32"/>
  <c r="BD10" i="32" s="1"/>
  <c r="BJ10" i="32" s="1"/>
  <c r="BP10" i="32" s="1"/>
  <c r="D10" i="33"/>
  <c r="E12" i="32"/>
  <c r="BE12" i="32" s="1"/>
  <c r="E12" i="33"/>
  <c r="D15" i="32"/>
  <c r="BD15" i="32" s="1"/>
  <c r="BJ15" i="32" s="1"/>
  <c r="BP15" i="32" s="1"/>
  <c r="D15" i="33"/>
  <c r="E19" i="32"/>
  <c r="BE19" i="32" s="1"/>
  <c r="BK19" i="32" s="1"/>
  <c r="BQ19" i="32" s="1"/>
  <c r="E20" i="33"/>
  <c r="D21" i="32"/>
  <c r="BD21" i="32" s="1"/>
  <c r="BJ21" i="32" s="1"/>
  <c r="BP21" i="32" s="1"/>
  <c r="D22" i="33"/>
  <c r="D24" i="32"/>
  <c r="BD24" i="32" s="1"/>
  <c r="BJ24" i="32" s="1"/>
  <c r="BP24" i="32" s="1"/>
  <c r="D25" i="33"/>
  <c r="D26" i="32"/>
  <c r="BD26" i="32" s="1"/>
  <c r="BJ26" i="32" s="1"/>
  <c r="BP26" i="32" s="1"/>
  <c r="D27" i="33"/>
  <c r="D29" i="32"/>
  <c r="BD29" i="32" s="1"/>
  <c r="BJ29" i="32" s="1"/>
  <c r="BP29" i="32" s="1"/>
  <c r="D30" i="33"/>
  <c r="E31" i="32"/>
  <c r="BE31" i="32" s="1"/>
  <c r="BK31" i="32" s="1"/>
  <c r="BQ31" i="32" s="1"/>
  <c r="E32" i="33"/>
  <c r="E33" i="32"/>
  <c r="BE33" i="32" s="1"/>
  <c r="BK33" i="32" s="1"/>
  <c r="BQ33" i="32" s="1"/>
  <c r="E34" i="33"/>
  <c r="E35" i="32"/>
  <c r="BE35" i="32" s="1"/>
  <c r="BK35" i="32" s="1"/>
  <c r="BQ35" i="32" s="1"/>
  <c r="E36" i="33"/>
  <c r="E37" i="32"/>
  <c r="BE37" i="32" s="1"/>
  <c r="BK37" i="32" s="1"/>
  <c r="BQ37" i="32" s="1"/>
  <c r="E38" i="33"/>
  <c r="E39" i="32"/>
  <c r="BE39" i="32" s="1"/>
  <c r="BK39" i="32" s="1"/>
  <c r="BQ39" i="32" s="1"/>
  <c r="E40" i="33"/>
  <c r="E41" i="32"/>
  <c r="BE41" i="32" s="1"/>
  <c r="BK41" i="32" s="1"/>
  <c r="BQ41" i="32" s="1"/>
  <c r="E42" i="33"/>
  <c r="E43" i="32"/>
  <c r="BE43" i="32" s="1"/>
  <c r="BK43" i="32" s="1"/>
  <c r="BQ43" i="32" s="1"/>
  <c r="E45" i="33"/>
  <c r="E45" i="32"/>
  <c r="BE45" i="32" s="1"/>
  <c r="BK45" i="32" s="1"/>
  <c r="BQ45" i="32" s="1"/>
  <c r="E46" i="33"/>
  <c r="E47" i="32"/>
  <c r="I47" i="32" s="1"/>
  <c r="M47" i="32" s="1"/>
  <c r="Q47" i="32" s="1"/>
  <c r="U47" i="32" s="1"/>
  <c r="Y47" i="32" s="1"/>
  <c r="AC47" i="32" s="1"/>
  <c r="AG47" i="32" s="1"/>
  <c r="AK47" i="32" s="1"/>
  <c r="AO47" i="32" s="1"/>
  <c r="AS47" i="32" s="1"/>
  <c r="AW47" i="32" s="1"/>
  <c r="E48" i="33"/>
  <c r="E50" i="32"/>
  <c r="BE50" i="32" s="1"/>
  <c r="BK50" i="32" s="1"/>
  <c r="BQ50" i="32" s="1"/>
  <c r="E51" i="33"/>
  <c r="E52" i="32"/>
  <c r="BE52" i="32" s="1"/>
  <c r="BK52" i="32" s="1"/>
  <c r="BQ52" i="32" s="1"/>
  <c r="E53" i="33"/>
  <c r="BL99" i="32"/>
  <c r="AX112" i="29"/>
  <c r="F112" i="29"/>
  <c r="BO99" i="32"/>
  <c r="BD8" i="32"/>
  <c r="BJ8" i="32" s="1"/>
  <c r="BP8" i="32" s="1"/>
  <c r="I16" i="32"/>
  <c r="M16" i="32" s="1"/>
  <c r="Q16" i="32" s="1"/>
  <c r="U16" i="32" s="1"/>
  <c r="Y16" i="32" s="1"/>
  <c r="AC16" i="32" s="1"/>
  <c r="AG16" i="32" s="1"/>
  <c r="AK16" i="32" s="1"/>
  <c r="AO16" i="32" s="1"/>
  <c r="AS16" i="32" s="1"/>
  <c r="AW16" i="32" s="1"/>
  <c r="I38" i="32"/>
  <c r="M38" i="32" s="1"/>
  <c r="Q38" i="32" s="1"/>
  <c r="U38" i="32" s="1"/>
  <c r="Y38" i="32" s="1"/>
  <c r="AC38" i="32" s="1"/>
  <c r="AG38" i="32" s="1"/>
  <c r="AK38" i="32" s="1"/>
  <c r="AO38" i="32" s="1"/>
  <c r="AS38" i="32" s="1"/>
  <c r="AW38" i="32" s="1"/>
  <c r="I45" i="32"/>
  <c r="M45" i="32" s="1"/>
  <c r="Q45" i="32" s="1"/>
  <c r="U45" i="32" s="1"/>
  <c r="Y45" i="32" s="1"/>
  <c r="AC45" i="32" s="1"/>
  <c r="AG45" i="32" s="1"/>
  <c r="AK45" i="32" s="1"/>
  <c r="AO45" i="32" s="1"/>
  <c r="AS45" i="32" s="1"/>
  <c r="AW45" i="32" s="1"/>
  <c r="I52" i="32"/>
  <c r="M52" i="32" s="1"/>
  <c r="Q52" i="32" s="1"/>
  <c r="U52" i="32" s="1"/>
  <c r="Y52" i="32" s="1"/>
  <c r="AC52" i="32" s="1"/>
  <c r="AG52" i="32" s="1"/>
  <c r="AK52" i="32" s="1"/>
  <c r="AO52" i="32" s="1"/>
  <c r="AS52" i="32" s="1"/>
  <c r="AW52" i="32" s="1"/>
  <c r="BD18" i="32"/>
  <c r="BJ18" i="32" s="1"/>
  <c r="BP18" i="32" s="1"/>
  <c r="V112" i="29"/>
  <c r="BC96" i="29"/>
  <c r="BB112" i="29" s="1"/>
  <c r="I12" i="32"/>
  <c r="I19" i="32"/>
  <c r="M19" i="32" s="1"/>
  <c r="Q19" i="32" s="1"/>
  <c r="U19" i="32" s="1"/>
  <c r="Y19" i="32" s="1"/>
  <c r="AC19" i="32" s="1"/>
  <c r="AG19" i="32" s="1"/>
  <c r="AK19" i="32" s="1"/>
  <c r="AO19" i="32" s="1"/>
  <c r="AS19" i="32" s="1"/>
  <c r="AW19" i="32" s="1"/>
  <c r="H24" i="32"/>
  <c r="L24" i="32" s="1"/>
  <c r="P24" i="32" s="1"/>
  <c r="T24" i="32" s="1"/>
  <c r="X24" i="32" s="1"/>
  <c r="AB24" i="32" s="1"/>
  <c r="AF24" i="32" s="1"/>
  <c r="AJ24" i="32" s="1"/>
  <c r="AN24" i="32" s="1"/>
  <c r="AR24" i="32" s="1"/>
  <c r="AV24" i="32" s="1"/>
  <c r="H29" i="32"/>
  <c r="L29" i="32" s="1"/>
  <c r="P29" i="32" s="1"/>
  <c r="T29" i="32" s="1"/>
  <c r="X29" i="32" s="1"/>
  <c r="AB29" i="32" s="1"/>
  <c r="AF29" i="32" s="1"/>
  <c r="AJ29" i="32" s="1"/>
  <c r="AN29" i="32" s="1"/>
  <c r="AR29" i="32" s="1"/>
  <c r="AV29" i="32" s="1"/>
  <c r="I33" i="32"/>
  <c r="M33" i="32" s="1"/>
  <c r="Q33" i="32" s="1"/>
  <c r="U33" i="32" s="1"/>
  <c r="Y33" i="32" s="1"/>
  <c r="AC33" i="32" s="1"/>
  <c r="AG33" i="32" s="1"/>
  <c r="AK33" i="32" s="1"/>
  <c r="AO33" i="32" s="1"/>
  <c r="AS33" i="32" s="1"/>
  <c r="AW33" i="32" s="1"/>
  <c r="I37" i="32"/>
  <c r="M37" i="32" s="1"/>
  <c r="Q37" i="32" s="1"/>
  <c r="U37" i="32" s="1"/>
  <c r="Y37" i="32" s="1"/>
  <c r="AC37" i="32" s="1"/>
  <c r="AG37" i="32" s="1"/>
  <c r="AK37" i="32" s="1"/>
  <c r="AO37" i="32" s="1"/>
  <c r="AS37" i="32" s="1"/>
  <c r="AW37" i="32" s="1"/>
  <c r="I41" i="32"/>
  <c r="M41" i="32" s="1"/>
  <c r="Q41" i="32" s="1"/>
  <c r="U41" i="32" s="1"/>
  <c r="Y41" i="32" s="1"/>
  <c r="AC41" i="32" s="1"/>
  <c r="AG41" i="32" s="1"/>
  <c r="AK41" i="32" s="1"/>
  <c r="AO41" i="32" s="1"/>
  <c r="AS41" i="32" s="1"/>
  <c r="AW41" i="32" s="1"/>
  <c r="I49" i="32"/>
  <c r="M49" i="32" s="1"/>
  <c r="Q49" i="32" s="1"/>
  <c r="U49" i="32" s="1"/>
  <c r="Y49" i="32" s="1"/>
  <c r="AC49" i="32" s="1"/>
  <c r="AG49" i="32" s="1"/>
  <c r="AK49" i="32" s="1"/>
  <c r="AO49" i="32" s="1"/>
  <c r="AS49" i="32" s="1"/>
  <c r="AW49" i="32" s="1"/>
  <c r="D112" i="29"/>
  <c r="N112" i="29"/>
  <c r="AB112" i="29"/>
  <c r="AD112" i="29"/>
  <c r="AR112" i="29"/>
  <c r="AT112" i="29"/>
  <c r="BD34" i="32"/>
  <c r="BJ34" i="32" s="1"/>
  <c r="BP34" i="32" s="1"/>
  <c r="BD9" i="32"/>
  <c r="BJ9" i="32" s="1"/>
  <c r="BP9" i="32" s="1"/>
  <c r="BE47" i="32"/>
  <c r="BK47" i="32" s="1"/>
  <c r="BQ47" i="32" s="1"/>
  <c r="AB66" i="32"/>
  <c r="AF66" i="32" s="1"/>
  <c r="AJ66" i="32" s="1"/>
  <c r="AN66" i="32" s="1"/>
  <c r="AR66" i="32" s="1"/>
  <c r="AV66" i="32" s="1"/>
  <c r="BN99" i="32"/>
  <c r="K112" i="29"/>
  <c r="BE51" i="29"/>
  <c r="BK51" i="29" s="1"/>
  <c r="BQ51" i="29" s="1"/>
  <c r="E49" i="34" s="1"/>
  <c r="I49" i="34" s="1"/>
  <c r="M49" i="34" s="1"/>
  <c r="Q49" i="34" s="1"/>
  <c r="U49" i="34" s="1"/>
  <c r="Y49" i="34" s="1"/>
  <c r="AC49" i="34" s="1"/>
  <c r="AG49" i="34" s="1"/>
  <c r="AK49" i="34" s="1"/>
  <c r="AO49" i="34" s="1"/>
  <c r="AS49" i="34" s="1"/>
  <c r="AW49" i="34" s="1"/>
  <c r="BA49" i="34" s="1"/>
  <c r="BE49" i="34" s="1"/>
  <c r="BI49" i="34" s="1"/>
  <c r="BM49" i="34" s="1"/>
  <c r="BQ49" i="34" s="1"/>
  <c r="BU49" i="34" s="1"/>
  <c r="BY49" i="34" s="1"/>
  <c r="CC49" i="34" s="1"/>
  <c r="CG49" i="34" s="1"/>
  <c r="CK49" i="34" s="1"/>
  <c r="CO49" i="34" s="1"/>
  <c r="CS49" i="34" s="1"/>
  <c r="CW49" i="34" s="1"/>
  <c r="BA112" i="29"/>
  <c r="AZ112" i="29"/>
  <c r="H112" i="29"/>
  <c r="M112" i="29"/>
  <c r="S112" i="29"/>
  <c r="X112" i="29"/>
  <c r="AA112" i="29"/>
  <c r="AC112" i="29"/>
  <c r="AI112" i="29"/>
  <c r="AN112" i="29"/>
  <c r="AQ112" i="29"/>
  <c r="AS112" i="29"/>
  <c r="AY97" i="29"/>
  <c r="BD96" i="29"/>
  <c r="BJ10" i="29"/>
  <c r="BL96" i="29"/>
  <c r="BI96" i="29"/>
  <c r="BG96" i="29"/>
  <c r="AJ112" i="29"/>
  <c r="T112" i="29"/>
  <c r="L112" i="29"/>
  <c r="BK43" i="29"/>
  <c r="BQ43" i="29" s="1"/>
  <c r="E40" i="34" s="1"/>
  <c r="I40" i="34" s="1"/>
  <c r="M40" i="34" s="1"/>
  <c r="Q40" i="34" s="1"/>
  <c r="U40" i="34" s="1"/>
  <c r="Y40" i="34" s="1"/>
  <c r="AC40" i="34" s="1"/>
  <c r="AG40" i="34" s="1"/>
  <c r="AK40" i="34" s="1"/>
  <c r="AO40" i="34" s="1"/>
  <c r="AS40" i="34" s="1"/>
  <c r="AW40" i="34" s="1"/>
  <c r="BA40" i="34" s="1"/>
  <c r="BE40" i="34" s="1"/>
  <c r="BI40" i="34" s="1"/>
  <c r="BM40" i="34" s="1"/>
  <c r="BQ40" i="34" s="1"/>
  <c r="BU40" i="34" s="1"/>
  <c r="BY40" i="34" s="1"/>
  <c r="CC40" i="34" s="1"/>
  <c r="CG40" i="34" s="1"/>
  <c r="CK40" i="34" s="1"/>
  <c r="CO40" i="34" s="1"/>
  <c r="CS40" i="34" s="1"/>
  <c r="CW40" i="34" s="1"/>
  <c r="I112" i="29"/>
  <c r="Q112" i="29"/>
  <c r="Y112" i="29"/>
  <c r="AG112" i="29"/>
  <c r="AO112" i="29"/>
  <c r="AW112" i="29"/>
  <c r="BO96" i="29"/>
  <c r="E47" i="36" l="1"/>
  <c r="I47" i="36" s="1"/>
  <c r="M47" i="36" s="1"/>
  <c r="Q47" i="36" s="1"/>
  <c r="U47" i="36" s="1"/>
  <c r="Y47" i="36" s="1"/>
  <c r="AC47" i="36" s="1"/>
  <c r="AG47" i="36" s="1"/>
  <c r="AK47" i="36" s="1"/>
  <c r="AO47" i="36" s="1"/>
  <c r="AS47" i="36" s="1"/>
  <c r="BE47" i="36" s="1"/>
  <c r="AW47" i="36" s="1"/>
  <c r="BA47" i="36" s="1"/>
  <c r="BD24" i="36"/>
  <c r="AV24" i="36" s="1"/>
  <c r="AZ24" i="36" s="1"/>
  <c r="H24" i="36"/>
  <c r="L24" i="36" s="1"/>
  <c r="P24" i="36" s="1"/>
  <c r="T24" i="36" s="1"/>
  <c r="X24" i="36" s="1"/>
  <c r="AB24" i="36" s="1"/>
  <c r="AF24" i="36" s="1"/>
  <c r="AJ24" i="36" s="1"/>
  <c r="AN24" i="36" s="1"/>
  <c r="AR24" i="36" s="1"/>
  <c r="BI108" i="29"/>
  <c r="BE36" i="32"/>
  <c r="BK36" i="32" s="1"/>
  <c r="BQ36" i="32" s="1"/>
  <c r="BD22" i="32"/>
  <c r="BJ22" i="32" s="1"/>
  <c r="BP22" i="32" s="1"/>
  <c r="I51" i="32"/>
  <c r="M51" i="32" s="1"/>
  <c r="Q51" i="32" s="1"/>
  <c r="U51" i="32" s="1"/>
  <c r="Y51" i="32" s="1"/>
  <c r="AC51" i="32" s="1"/>
  <c r="AG51" i="32" s="1"/>
  <c r="AK51" i="32" s="1"/>
  <c r="AO51" i="32" s="1"/>
  <c r="AS51" i="32" s="1"/>
  <c r="AW51" i="32" s="1"/>
  <c r="I44" i="32"/>
  <c r="M44" i="32" s="1"/>
  <c r="Q44" i="32" s="1"/>
  <c r="U44" i="32" s="1"/>
  <c r="Y44" i="32" s="1"/>
  <c r="AC44" i="32" s="1"/>
  <c r="AG44" i="32" s="1"/>
  <c r="AK44" i="32" s="1"/>
  <c r="AO44" i="32" s="1"/>
  <c r="AS44" i="32" s="1"/>
  <c r="AW44" i="32" s="1"/>
  <c r="I39" i="32"/>
  <c r="M39" i="32" s="1"/>
  <c r="Q39" i="32" s="1"/>
  <c r="U39" i="32" s="1"/>
  <c r="Y39" i="32" s="1"/>
  <c r="AC39" i="32" s="1"/>
  <c r="AG39" i="32" s="1"/>
  <c r="AK39" i="32" s="1"/>
  <c r="AO39" i="32" s="1"/>
  <c r="AS39" i="32" s="1"/>
  <c r="AW39" i="32" s="1"/>
  <c r="I35" i="32"/>
  <c r="M35" i="32" s="1"/>
  <c r="Q35" i="32" s="1"/>
  <c r="U35" i="32" s="1"/>
  <c r="Y35" i="32" s="1"/>
  <c r="AC35" i="32" s="1"/>
  <c r="AG35" i="32" s="1"/>
  <c r="AK35" i="32" s="1"/>
  <c r="AO35" i="32" s="1"/>
  <c r="AS35" i="32" s="1"/>
  <c r="AW35" i="32" s="1"/>
  <c r="I31" i="32"/>
  <c r="M31" i="32" s="1"/>
  <c r="Q31" i="32" s="1"/>
  <c r="U31" i="32" s="1"/>
  <c r="Y31" i="32" s="1"/>
  <c r="AC31" i="32" s="1"/>
  <c r="AG31" i="32" s="1"/>
  <c r="AK31" i="32" s="1"/>
  <c r="AO31" i="32" s="1"/>
  <c r="AS31" i="32" s="1"/>
  <c r="AW31" i="32" s="1"/>
  <c r="H26" i="32"/>
  <c r="L26" i="32" s="1"/>
  <c r="P26" i="32" s="1"/>
  <c r="T26" i="32" s="1"/>
  <c r="X26" i="32" s="1"/>
  <c r="AB26" i="32" s="1"/>
  <c r="AF26" i="32" s="1"/>
  <c r="AJ26" i="32" s="1"/>
  <c r="AN26" i="32" s="1"/>
  <c r="AR26" i="32" s="1"/>
  <c r="AV26" i="32" s="1"/>
  <c r="H21" i="32"/>
  <c r="L21" i="32" s="1"/>
  <c r="P21" i="32" s="1"/>
  <c r="T21" i="32" s="1"/>
  <c r="X21" i="32" s="1"/>
  <c r="AB21" i="32" s="1"/>
  <c r="AF21" i="32" s="1"/>
  <c r="AJ21" i="32" s="1"/>
  <c r="AN21" i="32" s="1"/>
  <c r="AR21" i="32" s="1"/>
  <c r="AV21" i="32" s="1"/>
  <c r="H15" i="32"/>
  <c r="L15" i="32" s="1"/>
  <c r="P15" i="32" s="1"/>
  <c r="T15" i="32" s="1"/>
  <c r="X15" i="32" s="1"/>
  <c r="AB15" i="32" s="1"/>
  <c r="AF15" i="32" s="1"/>
  <c r="AJ15" i="32" s="1"/>
  <c r="AN15" i="32" s="1"/>
  <c r="AR15" i="32" s="1"/>
  <c r="AV15" i="32" s="1"/>
  <c r="H10" i="32"/>
  <c r="L10" i="32" s="1"/>
  <c r="P10" i="32" s="1"/>
  <c r="T10" i="32" s="1"/>
  <c r="X10" i="32" s="1"/>
  <c r="AB10" i="32" s="1"/>
  <c r="AF10" i="32" s="1"/>
  <c r="AJ10" i="32" s="1"/>
  <c r="AN10" i="32" s="1"/>
  <c r="AR10" i="32" s="1"/>
  <c r="AV10" i="32" s="1"/>
  <c r="H96" i="32"/>
  <c r="L96" i="32" s="1"/>
  <c r="P96" i="32" s="1"/>
  <c r="T96" i="32" s="1"/>
  <c r="X96" i="32" s="1"/>
  <c r="AB96" i="32" s="1"/>
  <c r="AF96" i="32" s="1"/>
  <c r="AJ96" i="32" s="1"/>
  <c r="AN96" i="32" s="1"/>
  <c r="AR96" i="32" s="1"/>
  <c r="AV96" i="32" s="1"/>
  <c r="I50" i="32"/>
  <c r="M50" i="32" s="1"/>
  <c r="Q50" i="32" s="1"/>
  <c r="U50" i="32" s="1"/>
  <c r="Y50" i="32" s="1"/>
  <c r="AC50" i="32" s="1"/>
  <c r="AG50" i="32" s="1"/>
  <c r="AK50" i="32" s="1"/>
  <c r="AO50" i="32" s="1"/>
  <c r="AS50" i="32" s="1"/>
  <c r="AW50" i="32" s="1"/>
  <c r="I42" i="32"/>
  <c r="M42" i="32" s="1"/>
  <c r="Q42" i="32" s="1"/>
  <c r="U42" i="32" s="1"/>
  <c r="Y42" i="32" s="1"/>
  <c r="AC42" i="32" s="1"/>
  <c r="AG42" i="32" s="1"/>
  <c r="AK42" i="32" s="1"/>
  <c r="AO42" i="32" s="1"/>
  <c r="AS42" i="32" s="1"/>
  <c r="AW42" i="32" s="1"/>
  <c r="H23" i="32"/>
  <c r="L23" i="32" s="1"/>
  <c r="P23" i="32" s="1"/>
  <c r="T23" i="32" s="1"/>
  <c r="X23" i="32" s="1"/>
  <c r="AB23" i="32" s="1"/>
  <c r="AF23" i="32" s="1"/>
  <c r="AJ23" i="32" s="1"/>
  <c r="AN23" i="32" s="1"/>
  <c r="AR23" i="32" s="1"/>
  <c r="AV23" i="32" s="1"/>
  <c r="I43" i="32"/>
  <c r="M43" i="32" s="1"/>
  <c r="Q43" i="32" s="1"/>
  <c r="U43" i="32" s="1"/>
  <c r="Y43" i="32" s="1"/>
  <c r="AC43" i="32" s="1"/>
  <c r="AG43" i="32" s="1"/>
  <c r="AK43" i="32" s="1"/>
  <c r="AO43" i="32" s="1"/>
  <c r="AS43" i="32" s="1"/>
  <c r="AW43" i="32" s="1"/>
  <c r="BB26" i="36"/>
  <c r="H26" i="36"/>
  <c r="L26" i="36" s="1"/>
  <c r="P26" i="36" s="1"/>
  <c r="T26" i="36" s="1"/>
  <c r="X26" i="36" s="1"/>
  <c r="AB26" i="36" s="1"/>
  <c r="AF26" i="36" s="1"/>
  <c r="AJ26" i="36" s="1"/>
  <c r="AN26" i="36" s="1"/>
  <c r="AR26" i="36" s="1"/>
  <c r="BD26" i="36" s="1"/>
  <c r="AV26" i="36" s="1"/>
  <c r="H12" i="36"/>
  <c r="D113" i="36"/>
  <c r="P34" i="36"/>
  <c r="T34" i="36" s="1"/>
  <c r="X34" i="36" s="1"/>
  <c r="AB34" i="36" s="1"/>
  <c r="AF34" i="36" s="1"/>
  <c r="AJ34" i="36" s="1"/>
  <c r="AN34" i="36" s="1"/>
  <c r="AR34" i="36" s="1"/>
  <c r="AV34" i="36" s="1"/>
  <c r="AZ34" i="36" s="1"/>
  <c r="CR32" i="34"/>
  <c r="CV32" i="34" s="1"/>
  <c r="BA105" i="34"/>
  <c r="E105" i="34"/>
  <c r="I57" i="36"/>
  <c r="M57" i="36" s="1"/>
  <c r="Q57" i="36" s="1"/>
  <c r="U57" i="36" s="1"/>
  <c r="Y57" i="36" s="1"/>
  <c r="AC57" i="36" s="1"/>
  <c r="AG57" i="36" s="1"/>
  <c r="AK57" i="36" s="1"/>
  <c r="AO57" i="36" s="1"/>
  <c r="AS57" i="36" s="1"/>
  <c r="BE57" i="36"/>
  <c r="AW57" i="36" s="1"/>
  <c r="BA57" i="36" s="1"/>
  <c r="BI21" i="34"/>
  <c r="BE105" i="34"/>
  <c r="M12" i="34"/>
  <c r="I105" i="34"/>
  <c r="BH8" i="34"/>
  <c r="BD105" i="34"/>
  <c r="E40" i="32"/>
  <c r="BE40" i="32" s="1"/>
  <c r="BK40" i="32" s="1"/>
  <c r="BQ40" i="32" s="1"/>
  <c r="E41" i="33"/>
  <c r="E48" i="32"/>
  <c r="I48" i="32" s="1"/>
  <c r="M48" i="32" s="1"/>
  <c r="Q48" i="32" s="1"/>
  <c r="U48" i="32" s="1"/>
  <c r="Y48" i="32" s="1"/>
  <c r="AC48" i="32" s="1"/>
  <c r="AG48" i="32" s="1"/>
  <c r="AK48" i="32" s="1"/>
  <c r="AO48" i="32" s="1"/>
  <c r="AS48" i="32" s="1"/>
  <c r="AW48" i="32" s="1"/>
  <c r="E49" i="33"/>
  <c r="BD14" i="32"/>
  <c r="BJ14" i="32" s="1"/>
  <c r="BP14" i="32" s="1"/>
  <c r="BD30" i="32"/>
  <c r="BJ30" i="32" s="1"/>
  <c r="BP30" i="32" s="1"/>
  <c r="BD11" i="32"/>
  <c r="BJ11" i="32" s="1"/>
  <c r="BP11" i="32" s="1"/>
  <c r="BD25" i="32"/>
  <c r="BJ25" i="32" s="1"/>
  <c r="BP25" i="32" s="1"/>
  <c r="BD32" i="32"/>
  <c r="BJ32" i="32" s="1"/>
  <c r="BP32" i="32" s="1"/>
  <c r="BU53" i="33"/>
  <c r="CA53" i="33" s="1"/>
  <c r="CG53" i="33" s="1"/>
  <c r="I53" i="33"/>
  <c r="M53" i="33" s="1"/>
  <c r="Q53" i="33" s="1"/>
  <c r="U53" i="33" s="1"/>
  <c r="Y53" i="33" s="1"/>
  <c r="AC53" i="33" s="1"/>
  <c r="AG53" i="33" s="1"/>
  <c r="AK53" i="33" s="1"/>
  <c r="AO53" i="33" s="1"/>
  <c r="AS53" i="33" s="1"/>
  <c r="AW53" i="33" s="1"/>
  <c r="BA53" i="33" s="1"/>
  <c r="BE53" i="33" s="1"/>
  <c r="BI53" i="33" s="1"/>
  <c r="BM53" i="33" s="1"/>
  <c r="BQ53" i="33" s="1"/>
  <c r="BU51" i="33"/>
  <c r="CA51" i="33" s="1"/>
  <c r="CG51" i="33" s="1"/>
  <c r="I51" i="33"/>
  <c r="M51" i="33" s="1"/>
  <c r="Q51" i="33" s="1"/>
  <c r="U51" i="33" s="1"/>
  <c r="Y51" i="33" s="1"/>
  <c r="AC51" i="33" s="1"/>
  <c r="AG51" i="33" s="1"/>
  <c r="AK51" i="33" s="1"/>
  <c r="AO51" i="33" s="1"/>
  <c r="AS51" i="33" s="1"/>
  <c r="AW51" i="33" s="1"/>
  <c r="BA51" i="33" s="1"/>
  <c r="BE51" i="33" s="1"/>
  <c r="BI51" i="33" s="1"/>
  <c r="BM51" i="33" s="1"/>
  <c r="BQ51" i="33" s="1"/>
  <c r="I48" i="33"/>
  <c r="M48" i="33" s="1"/>
  <c r="Q48" i="33" s="1"/>
  <c r="U48" i="33" s="1"/>
  <c r="Y48" i="33" s="1"/>
  <c r="AC48" i="33" s="1"/>
  <c r="AG48" i="33" s="1"/>
  <c r="AK48" i="33" s="1"/>
  <c r="AO48" i="33" s="1"/>
  <c r="AS48" i="33" s="1"/>
  <c r="AW48" i="33" s="1"/>
  <c r="BA48" i="33" s="1"/>
  <c r="BE48" i="33" s="1"/>
  <c r="BI48" i="33" s="1"/>
  <c r="BM48" i="33" s="1"/>
  <c r="BQ48" i="33" s="1"/>
  <c r="BU48" i="33"/>
  <c r="CA48" i="33" s="1"/>
  <c r="CG48" i="33" s="1"/>
  <c r="BU46" i="33"/>
  <c r="CA46" i="33" s="1"/>
  <c r="CG46" i="33" s="1"/>
  <c r="I46" i="33"/>
  <c r="M46" i="33" s="1"/>
  <c r="Q46" i="33" s="1"/>
  <c r="U46" i="33" s="1"/>
  <c r="Y46" i="33" s="1"/>
  <c r="AC46" i="33" s="1"/>
  <c r="AG46" i="33" s="1"/>
  <c r="AK46" i="33" s="1"/>
  <c r="AO46" i="33" s="1"/>
  <c r="AS46" i="33" s="1"/>
  <c r="AW46" i="33" s="1"/>
  <c r="BA46" i="33" s="1"/>
  <c r="BE46" i="33" s="1"/>
  <c r="BI46" i="33" s="1"/>
  <c r="BM46" i="33" s="1"/>
  <c r="BQ46" i="33" s="1"/>
  <c r="I45" i="33"/>
  <c r="M45" i="33" s="1"/>
  <c r="Q45" i="33" s="1"/>
  <c r="U45" i="33" s="1"/>
  <c r="Y45" i="33" s="1"/>
  <c r="AC45" i="33" s="1"/>
  <c r="AG45" i="33" s="1"/>
  <c r="AK45" i="33" s="1"/>
  <c r="AO45" i="33" s="1"/>
  <c r="AS45" i="33" s="1"/>
  <c r="AW45" i="33" s="1"/>
  <c r="BA45" i="33" s="1"/>
  <c r="BE45" i="33" s="1"/>
  <c r="BI45" i="33" s="1"/>
  <c r="BM45" i="33" s="1"/>
  <c r="BQ45" i="33" s="1"/>
  <c r="BU45" i="33"/>
  <c r="CA45" i="33" s="1"/>
  <c r="CG45" i="33" s="1"/>
  <c r="I42" i="33"/>
  <c r="M42" i="33" s="1"/>
  <c r="Q42" i="33" s="1"/>
  <c r="U42" i="33" s="1"/>
  <c r="Y42" i="33" s="1"/>
  <c r="AC42" i="33" s="1"/>
  <c r="AG42" i="33" s="1"/>
  <c r="AK42" i="33" s="1"/>
  <c r="AO42" i="33" s="1"/>
  <c r="AS42" i="33" s="1"/>
  <c r="AW42" i="33" s="1"/>
  <c r="BA42" i="33" s="1"/>
  <c r="BE42" i="33" s="1"/>
  <c r="BI42" i="33" s="1"/>
  <c r="BM42" i="33" s="1"/>
  <c r="BQ42" i="33" s="1"/>
  <c r="BU42" i="33"/>
  <c r="CA42" i="33" s="1"/>
  <c r="CG42" i="33" s="1"/>
  <c r="I40" i="33"/>
  <c r="M40" i="33" s="1"/>
  <c r="Q40" i="33" s="1"/>
  <c r="U40" i="33" s="1"/>
  <c r="Y40" i="33" s="1"/>
  <c r="AC40" i="33" s="1"/>
  <c r="AG40" i="33" s="1"/>
  <c r="AK40" i="33" s="1"/>
  <c r="AO40" i="33" s="1"/>
  <c r="AS40" i="33" s="1"/>
  <c r="AW40" i="33" s="1"/>
  <c r="BA40" i="33" s="1"/>
  <c r="BE40" i="33" s="1"/>
  <c r="BI40" i="33" s="1"/>
  <c r="BM40" i="33" s="1"/>
  <c r="BQ40" i="33" s="1"/>
  <c r="BU40" i="33"/>
  <c r="CA40" i="33" s="1"/>
  <c r="CG40" i="33" s="1"/>
  <c r="I38" i="33"/>
  <c r="M38" i="33" s="1"/>
  <c r="Q38" i="33" s="1"/>
  <c r="U38" i="33" s="1"/>
  <c r="Y38" i="33" s="1"/>
  <c r="AC38" i="33" s="1"/>
  <c r="AG38" i="33" s="1"/>
  <c r="AK38" i="33" s="1"/>
  <c r="AO38" i="33" s="1"/>
  <c r="AS38" i="33" s="1"/>
  <c r="AW38" i="33" s="1"/>
  <c r="BA38" i="33" s="1"/>
  <c r="BE38" i="33" s="1"/>
  <c r="BI38" i="33" s="1"/>
  <c r="BM38" i="33" s="1"/>
  <c r="BQ38" i="33" s="1"/>
  <c r="BU38" i="33"/>
  <c r="CA38" i="33" s="1"/>
  <c r="CG38" i="33" s="1"/>
  <c r="I36" i="33"/>
  <c r="M36" i="33" s="1"/>
  <c r="Q36" i="33" s="1"/>
  <c r="U36" i="33" s="1"/>
  <c r="Y36" i="33" s="1"/>
  <c r="AC36" i="33" s="1"/>
  <c r="AG36" i="33" s="1"/>
  <c r="AK36" i="33" s="1"/>
  <c r="AO36" i="33" s="1"/>
  <c r="AS36" i="33" s="1"/>
  <c r="AW36" i="33" s="1"/>
  <c r="BA36" i="33" s="1"/>
  <c r="BE36" i="33" s="1"/>
  <c r="BI36" i="33" s="1"/>
  <c r="BM36" i="33" s="1"/>
  <c r="BQ36" i="33" s="1"/>
  <c r="BU36" i="33"/>
  <c r="CA36" i="33" s="1"/>
  <c r="CG36" i="33" s="1"/>
  <c r="I34" i="33"/>
  <c r="M34" i="33" s="1"/>
  <c r="Q34" i="33" s="1"/>
  <c r="U34" i="33" s="1"/>
  <c r="Y34" i="33" s="1"/>
  <c r="AC34" i="33" s="1"/>
  <c r="AG34" i="33" s="1"/>
  <c r="AK34" i="33" s="1"/>
  <c r="AO34" i="33" s="1"/>
  <c r="AS34" i="33" s="1"/>
  <c r="AW34" i="33" s="1"/>
  <c r="BA34" i="33" s="1"/>
  <c r="BE34" i="33" s="1"/>
  <c r="BI34" i="33" s="1"/>
  <c r="BM34" i="33" s="1"/>
  <c r="BQ34" i="33" s="1"/>
  <c r="BU34" i="33"/>
  <c r="CA34" i="33" s="1"/>
  <c r="CG34" i="33" s="1"/>
  <c r="I32" i="33"/>
  <c r="M32" i="33" s="1"/>
  <c r="Q32" i="33" s="1"/>
  <c r="U32" i="33" s="1"/>
  <c r="Y32" i="33" s="1"/>
  <c r="AC32" i="33" s="1"/>
  <c r="AG32" i="33" s="1"/>
  <c r="AK32" i="33" s="1"/>
  <c r="AO32" i="33" s="1"/>
  <c r="AS32" i="33" s="1"/>
  <c r="AW32" i="33" s="1"/>
  <c r="BA32" i="33" s="1"/>
  <c r="BE32" i="33" s="1"/>
  <c r="BI32" i="33" s="1"/>
  <c r="BM32" i="33" s="1"/>
  <c r="BQ32" i="33" s="1"/>
  <c r="BU32" i="33"/>
  <c r="CA32" i="33" s="1"/>
  <c r="CG32" i="33" s="1"/>
  <c r="BT30" i="33"/>
  <c r="BZ30" i="33" s="1"/>
  <c r="CF30" i="33" s="1"/>
  <c r="H30" i="33"/>
  <c r="L30" i="33" s="1"/>
  <c r="P30" i="33" s="1"/>
  <c r="T30" i="33" s="1"/>
  <c r="X30" i="33" s="1"/>
  <c r="AB30" i="33" s="1"/>
  <c r="AF30" i="33" s="1"/>
  <c r="AJ30" i="33" s="1"/>
  <c r="AN30" i="33" s="1"/>
  <c r="AR30" i="33" s="1"/>
  <c r="AV30" i="33" s="1"/>
  <c r="AZ30" i="33" s="1"/>
  <c r="BD30" i="33" s="1"/>
  <c r="BH30" i="33" s="1"/>
  <c r="BL30" i="33" s="1"/>
  <c r="BP30" i="33" s="1"/>
  <c r="BT27" i="33"/>
  <c r="BZ27" i="33" s="1"/>
  <c r="CF27" i="33" s="1"/>
  <c r="H27" i="33"/>
  <c r="L27" i="33" s="1"/>
  <c r="P27" i="33" s="1"/>
  <c r="T27" i="33" s="1"/>
  <c r="X27" i="33" s="1"/>
  <c r="AB27" i="33" s="1"/>
  <c r="AF27" i="33" s="1"/>
  <c r="AJ27" i="33" s="1"/>
  <c r="AN27" i="33" s="1"/>
  <c r="AR27" i="33" s="1"/>
  <c r="AV27" i="33" s="1"/>
  <c r="AZ27" i="33" s="1"/>
  <c r="BD27" i="33" s="1"/>
  <c r="BH27" i="33" s="1"/>
  <c r="BL27" i="33" s="1"/>
  <c r="BP27" i="33" s="1"/>
  <c r="BT25" i="33"/>
  <c r="BZ25" i="33" s="1"/>
  <c r="CF25" i="33" s="1"/>
  <c r="H25" i="33"/>
  <c r="L25" i="33" s="1"/>
  <c r="P25" i="33" s="1"/>
  <c r="T25" i="33" s="1"/>
  <c r="X25" i="33" s="1"/>
  <c r="AB25" i="33" s="1"/>
  <c r="AF25" i="33" s="1"/>
  <c r="AJ25" i="33" s="1"/>
  <c r="AN25" i="33" s="1"/>
  <c r="AR25" i="33" s="1"/>
  <c r="AV25" i="33" s="1"/>
  <c r="AZ25" i="33" s="1"/>
  <c r="BD25" i="33" s="1"/>
  <c r="BH25" i="33" s="1"/>
  <c r="BL25" i="33" s="1"/>
  <c r="BP25" i="33" s="1"/>
  <c r="H22" i="33"/>
  <c r="L22" i="33" s="1"/>
  <c r="P22" i="33" s="1"/>
  <c r="T22" i="33" s="1"/>
  <c r="X22" i="33" s="1"/>
  <c r="AB22" i="33" s="1"/>
  <c r="AF22" i="33" s="1"/>
  <c r="AJ22" i="33" s="1"/>
  <c r="AN22" i="33" s="1"/>
  <c r="AR22" i="33" s="1"/>
  <c r="AV22" i="33" s="1"/>
  <c r="AZ22" i="33" s="1"/>
  <c r="BD22" i="33" s="1"/>
  <c r="BH22" i="33" s="1"/>
  <c r="BL22" i="33" s="1"/>
  <c r="BP22" i="33" s="1"/>
  <c r="BT22" i="33"/>
  <c r="BZ22" i="33" s="1"/>
  <c r="CF22" i="33" s="1"/>
  <c r="I20" i="33"/>
  <c r="M20" i="33" s="1"/>
  <c r="Q20" i="33" s="1"/>
  <c r="U20" i="33" s="1"/>
  <c r="Y20" i="33" s="1"/>
  <c r="AC20" i="33" s="1"/>
  <c r="AG20" i="33" s="1"/>
  <c r="AK20" i="33" s="1"/>
  <c r="AO20" i="33" s="1"/>
  <c r="AS20" i="33" s="1"/>
  <c r="AW20" i="33" s="1"/>
  <c r="BA20" i="33" s="1"/>
  <c r="BE20" i="33" s="1"/>
  <c r="BI20" i="33" s="1"/>
  <c r="BM20" i="33" s="1"/>
  <c r="BQ20" i="33" s="1"/>
  <c r="BU20" i="33"/>
  <c r="CA20" i="33" s="1"/>
  <c r="CG20" i="33" s="1"/>
  <c r="H15" i="33"/>
  <c r="L15" i="33" s="1"/>
  <c r="P15" i="33" s="1"/>
  <c r="T15" i="33" s="1"/>
  <c r="X15" i="33" s="1"/>
  <c r="AB15" i="33" s="1"/>
  <c r="AF15" i="33" s="1"/>
  <c r="AJ15" i="33" s="1"/>
  <c r="AN15" i="33" s="1"/>
  <c r="AR15" i="33" s="1"/>
  <c r="AV15" i="33" s="1"/>
  <c r="AZ15" i="33" s="1"/>
  <c r="BD15" i="33" s="1"/>
  <c r="BH15" i="33" s="1"/>
  <c r="BL15" i="33" s="1"/>
  <c r="BP15" i="33" s="1"/>
  <c r="BT15" i="33"/>
  <c r="BZ15" i="33" s="1"/>
  <c r="CF15" i="33" s="1"/>
  <c r="BU12" i="33"/>
  <c r="I12" i="33"/>
  <c r="H10" i="33"/>
  <c r="L10" i="33" s="1"/>
  <c r="P10" i="33" s="1"/>
  <c r="T10" i="33" s="1"/>
  <c r="X10" i="33" s="1"/>
  <c r="AB10" i="33" s="1"/>
  <c r="AF10" i="33" s="1"/>
  <c r="AJ10" i="33" s="1"/>
  <c r="AN10" i="33" s="1"/>
  <c r="AR10" i="33" s="1"/>
  <c r="AV10" i="33" s="1"/>
  <c r="AZ10" i="33" s="1"/>
  <c r="BD10" i="33" s="1"/>
  <c r="BH10" i="33" s="1"/>
  <c r="BL10" i="33" s="1"/>
  <c r="BP10" i="33" s="1"/>
  <c r="BT10" i="33"/>
  <c r="BZ10" i="33" s="1"/>
  <c r="CF10" i="33" s="1"/>
  <c r="BT8" i="33"/>
  <c r="BZ8" i="33" s="1"/>
  <c r="CF8" i="33" s="1"/>
  <c r="H8" i="33"/>
  <c r="L8" i="33" s="1"/>
  <c r="P8" i="33" s="1"/>
  <c r="T8" i="33" s="1"/>
  <c r="X8" i="33" s="1"/>
  <c r="AB8" i="33" s="1"/>
  <c r="AF8" i="33" s="1"/>
  <c r="AJ8" i="33" s="1"/>
  <c r="AN8" i="33" s="1"/>
  <c r="AR8" i="33" s="1"/>
  <c r="AV8" i="33" s="1"/>
  <c r="AZ8" i="33" s="1"/>
  <c r="BD8" i="33" s="1"/>
  <c r="BH8" i="33" s="1"/>
  <c r="BL8" i="33" s="1"/>
  <c r="BP8" i="33" s="1"/>
  <c r="BT33" i="33"/>
  <c r="BZ33" i="33" s="1"/>
  <c r="CF33" i="33" s="1"/>
  <c r="H33" i="33"/>
  <c r="L33" i="33" s="1"/>
  <c r="P33" i="33" s="1"/>
  <c r="T33" i="33" s="1"/>
  <c r="X33" i="33" s="1"/>
  <c r="AB33" i="33" s="1"/>
  <c r="AF33" i="33" s="1"/>
  <c r="AJ33" i="33" s="1"/>
  <c r="AN33" i="33" s="1"/>
  <c r="AR33" i="33" s="1"/>
  <c r="AV33" i="33" s="1"/>
  <c r="AZ33" i="33" s="1"/>
  <c r="BD33" i="33" s="1"/>
  <c r="BH33" i="33" s="1"/>
  <c r="BL33" i="33" s="1"/>
  <c r="BP33" i="33" s="1"/>
  <c r="BT97" i="33"/>
  <c r="BZ97" i="33" s="1"/>
  <c r="H97" i="33"/>
  <c r="L97" i="33" s="1"/>
  <c r="P97" i="33" s="1"/>
  <c r="T97" i="33" s="1"/>
  <c r="X97" i="33" s="1"/>
  <c r="AB97" i="33" s="1"/>
  <c r="AF97" i="33" s="1"/>
  <c r="AJ97" i="33" s="1"/>
  <c r="AN97" i="33" s="1"/>
  <c r="AR97" i="33" s="1"/>
  <c r="AV97" i="33" s="1"/>
  <c r="AZ97" i="33" s="1"/>
  <c r="BD97" i="33" s="1"/>
  <c r="BH97" i="33" s="1"/>
  <c r="BL97" i="33" s="1"/>
  <c r="BP97" i="33" s="1"/>
  <c r="BU52" i="33"/>
  <c r="CA52" i="33" s="1"/>
  <c r="CG52" i="33" s="1"/>
  <c r="I52" i="33"/>
  <c r="M52" i="33" s="1"/>
  <c r="Q52" i="33" s="1"/>
  <c r="U52" i="33" s="1"/>
  <c r="Y52" i="33" s="1"/>
  <c r="AC52" i="33" s="1"/>
  <c r="AG52" i="33" s="1"/>
  <c r="AK52" i="33" s="1"/>
  <c r="AO52" i="33" s="1"/>
  <c r="AS52" i="33" s="1"/>
  <c r="AW52" i="33" s="1"/>
  <c r="BA52" i="33" s="1"/>
  <c r="BE52" i="33" s="1"/>
  <c r="BI52" i="33" s="1"/>
  <c r="BM52" i="33" s="1"/>
  <c r="BQ52" i="33" s="1"/>
  <c r="BU50" i="33"/>
  <c r="CA50" i="33" s="1"/>
  <c r="CG50" i="33" s="1"/>
  <c r="I50" i="33"/>
  <c r="M50" i="33" s="1"/>
  <c r="Q50" i="33" s="1"/>
  <c r="U50" i="33" s="1"/>
  <c r="Y50" i="33" s="1"/>
  <c r="AC50" i="33" s="1"/>
  <c r="AG50" i="33" s="1"/>
  <c r="AK50" i="33" s="1"/>
  <c r="AO50" i="33" s="1"/>
  <c r="AS50" i="33" s="1"/>
  <c r="AW50" i="33" s="1"/>
  <c r="BA50" i="33" s="1"/>
  <c r="BE50" i="33" s="1"/>
  <c r="BI50" i="33" s="1"/>
  <c r="BM50" i="33" s="1"/>
  <c r="BQ50" i="33" s="1"/>
  <c r="BU44" i="33"/>
  <c r="CA44" i="33" s="1"/>
  <c r="CG44" i="33" s="1"/>
  <c r="I44" i="33"/>
  <c r="M44" i="33" s="1"/>
  <c r="Q44" i="33" s="1"/>
  <c r="U44" i="33" s="1"/>
  <c r="Y44" i="33" s="1"/>
  <c r="AC44" i="33" s="1"/>
  <c r="AG44" i="33" s="1"/>
  <c r="AK44" i="33" s="1"/>
  <c r="AO44" i="33" s="1"/>
  <c r="AS44" i="33" s="1"/>
  <c r="AW44" i="33" s="1"/>
  <c r="BA44" i="33" s="1"/>
  <c r="BE44" i="33" s="1"/>
  <c r="BI44" i="33" s="1"/>
  <c r="BM44" i="33" s="1"/>
  <c r="BQ44" i="33" s="1"/>
  <c r="BU43" i="33"/>
  <c r="CA43" i="33" s="1"/>
  <c r="CG43" i="33" s="1"/>
  <c r="I43" i="33"/>
  <c r="M43" i="33" s="1"/>
  <c r="Q43" i="33" s="1"/>
  <c r="U43" i="33" s="1"/>
  <c r="Y43" i="33" s="1"/>
  <c r="AC43" i="33" s="1"/>
  <c r="AG43" i="33" s="1"/>
  <c r="AK43" i="33" s="1"/>
  <c r="AO43" i="33" s="1"/>
  <c r="AS43" i="33" s="1"/>
  <c r="AW43" i="33" s="1"/>
  <c r="BA43" i="33" s="1"/>
  <c r="BE43" i="33" s="1"/>
  <c r="BI43" i="33" s="1"/>
  <c r="BM43" i="33" s="1"/>
  <c r="BQ43" i="33" s="1"/>
  <c r="BU39" i="33"/>
  <c r="CA39" i="33" s="1"/>
  <c r="CG39" i="33" s="1"/>
  <c r="I39" i="33"/>
  <c r="M39" i="33" s="1"/>
  <c r="Q39" i="33" s="1"/>
  <c r="U39" i="33" s="1"/>
  <c r="Y39" i="33" s="1"/>
  <c r="AC39" i="33" s="1"/>
  <c r="AG39" i="33" s="1"/>
  <c r="AK39" i="33" s="1"/>
  <c r="AO39" i="33" s="1"/>
  <c r="AS39" i="33" s="1"/>
  <c r="AW39" i="33" s="1"/>
  <c r="BA39" i="33" s="1"/>
  <c r="BE39" i="33" s="1"/>
  <c r="BI39" i="33" s="1"/>
  <c r="BM39" i="33" s="1"/>
  <c r="BQ39" i="33" s="1"/>
  <c r="I37" i="33"/>
  <c r="M37" i="33" s="1"/>
  <c r="Q37" i="33" s="1"/>
  <c r="U37" i="33" s="1"/>
  <c r="Y37" i="33" s="1"/>
  <c r="AC37" i="33" s="1"/>
  <c r="AG37" i="33" s="1"/>
  <c r="AK37" i="33" s="1"/>
  <c r="AO37" i="33" s="1"/>
  <c r="AS37" i="33" s="1"/>
  <c r="AW37" i="33" s="1"/>
  <c r="BA37" i="33" s="1"/>
  <c r="BE37" i="33" s="1"/>
  <c r="BI37" i="33" s="1"/>
  <c r="BM37" i="33" s="1"/>
  <c r="BQ37" i="33" s="1"/>
  <c r="BU37" i="33"/>
  <c r="CA37" i="33" s="1"/>
  <c r="CG37" i="33" s="1"/>
  <c r="H35" i="33"/>
  <c r="L35" i="33" s="1"/>
  <c r="P35" i="33" s="1"/>
  <c r="T35" i="33" s="1"/>
  <c r="X35" i="33" s="1"/>
  <c r="AB35" i="33" s="1"/>
  <c r="AF35" i="33" s="1"/>
  <c r="AJ35" i="33" s="1"/>
  <c r="AN35" i="33" s="1"/>
  <c r="AR35" i="33" s="1"/>
  <c r="AV35" i="33" s="1"/>
  <c r="AZ35" i="33" s="1"/>
  <c r="BD35" i="33" s="1"/>
  <c r="BH35" i="33" s="1"/>
  <c r="BL35" i="33" s="1"/>
  <c r="BP35" i="33" s="1"/>
  <c r="BT35" i="33"/>
  <c r="BZ35" i="33" s="1"/>
  <c r="CF35" i="33" s="1"/>
  <c r="BT31" i="33"/>
  <c r="BZ31" i="33" s="1"/>
  <c r="CF31" i="33" s="1"/>
  <c r="H31" i="33"/>
  <c r="L31" i="33" s="1"/>
  <c r="P31" i="33" s="1"/>
  <c r="T31" i="33" s="1"/>
  <c r="X31" i="33" s="1"/>
  <c r="AB31" i="33" s="1"/>
  <c r="AF31" i="33" s="1"/>
  <c r="AJ31" i="33" s="1"/>
  <c r="AN31" i="33" s="1"/>
  <c r="AR31" i="33" s="1"/>
  <c r="AV31" i="33" s="1"/>
  <c r="AZ31" i="33" s="1"/>
  <c r="BD31" i="33" s="1"/>
  <c r="BH31" i="33" s="1"/>
  <c r="BL31" i="33" s="1"/>
  <c r="BP31" i="33" s="1"/>
  <c r="BT26" i="33"/>
  <c r="BZ26" i="33" s="1"/>
  <c r="CF26" i="33" s="1"/>
  <c r="H26" i="33"/>
  <c r="L26" i="33" s="1"/>
  <c r="P26" i="33" s="1"/>
  <c r="T26" i="33" s="1"/>
  <c r="X26" i="33" s="1"/>
  <c r="AB26" i="33" s="1"/>
  <c r="AF26" i="33" s="1"/>
  <c r="AJ26" i="33" s="1"/>
  <c r="AN26" i="33" s="1"/>
  <c r="AR26" i="33" s="1"/>
  <c r="AV26" i="33" s="1"/>
  <c r="AZ26" i="33" s="1"/>
  <c r="BD26" i="33" s="1"/>
  <c r="BH26" i="33" s="1"/>
  <c r="BL26" i="33" s="1"/>
  <c r="BP26" i="33" s="1"/>
  <c r="H24" i="33"/>
  <c r="L24" i="33" s="1"/>
  <c r="P24" i="33" s="1"/>
  <c r="T24" i="33" s="1"/>
  <c r="X24" i="33" s="1"/>
  <c r="AB24" i="33" s="1"/>
  <c r="AF24" i="33" s="1"/>
  <c r="AJ24" i="33" s="1"/>
  <c r="AN24" i="33" s="1"/>
  <c r="AR24" i="33" s="1"/>
  <c r="AV24" i="33" s="1"/>
  <c r="AZ24" i="33" s="1"/>
  <c r="BD24" i="33" s="1"/>
  <c r="BH24" i="33" s="1"/>
  <c r="BL24" i="33" s="1"/>
  <c r="BP24" i="33" s="1"/>
  <c r="BT24" i="33"/>
  <c r="H23" i="33"/>
  <c r="L23" i="33" s="1"/>
  <c r="P23" i="33" s="1"/>
  <c r="T23" i="33" s="1"/>
  <c r="X23" i="33" s="1"/>
  <c r="AB23" i="33" s="1"/>
  <c r="AF23" i="33" s="1"/>
  <c r="AJ23" i="33" s="1"/>
  <c r="AN23" i="33" s="1"/>
  <c r="AR23" i="33" s="1"/>
  <c r="AV23" i="33" s="1"/>
  <c r="AZ23" i="33" s="1"/>
  <c r="BD23" i="33" s="1"/>
  <c r="BH23" i="33" s="1"/>
  <c r="BL23" i="33" s="1"/>
  <c r="BP23" i="33" s="1"/>
  <c r="BT23" i="33"/>
  <c r="BZ23" i="33" s="1"/>
  <c r="CF23" i="33" s="1"/>
  <c r="BT19" i="33"/>
  <c r="BZ19" i="33" s="1"/>
  <c r="CF19" i="33" s="1"/>
  <c r="H19" i="33"/>
  <c r="L19" i="33" s="1"/>
  <c r="P19" i="33" s="1"/>
  <c r="T19" i="33" s="1"/>
  <c r="X19" i="33" s="1"/>
  <c r="AB19" i="33" s="1"/>
  <c r="AF19" i="33" s="1"/>
  <c r="AJ19" i="33" s="1"/>
  <c r="AN19" i="33" s="1"/>
  <c r="AR19" i="33" s="1"/>
  <c r="AV19" i="33" s="1"/>
  <c r="AZ19" i="33" s="1"/>
  <c r="BD19" i="33" s="1"/>
  <c r="BH19" i="33" s="1"/>
  <c r="BL19" i="33" s="1"/>
  <c r="BP19" i="33" s="1"/>
  <c r="BU16" i="33"/>
  <c r="CA16" i="33" s="1"/>
  <c r="CG16" i="33" s="1"/>
  <c r="I16" i="33"/>
  <c r="M16" i="33" s="1"/>
  <c r="Q16" i="33" s="1"/>
  <c r="U16" i="33" s="1"/>
  <c r="Y16" i="33" s="1"/>
  <c r="AC16" i="33" s="1"/>
  <c r="AG16" i="33" s="1"/>
  <c r="AK16" i="33" s="1"/>
  <c r="AO16" i="33" s="1"/>
  <c r="AS16" i="33" s="1"/>
  <c r="AW16" i="33" s="1"/>
  <c r="BA16" i="33" s="1"/>
  <c r="BE16" i="33" s="1"/>
  <c r="BI16" i="33" s="1"/>
  <c r="BM16" i="33" s="1"/>
  <c r="BQ16" i="33" s="1"/>
  <c r="BT14" i="33"/>
  <c r="BZ14" i="33" s="1"/>
  <c r="CF14" i="33" s="1"/>
  <c r="H14" i="33"/>
  <c r="L14" i="33" s="1"/>
  <c r="P14" i="33" s="1"/>
  <c r="T14" i="33" s="1"/>
  <c r="X14" i="33" s="1"/>
  <c r="AB14" i="33" s="1"/>
  <c r="AF14" i="33" s="1"/>
  <c r="AJ14" i="33" s="1"/>
  <c r="AN14" i="33" s="1"/>
  <c r="AR14" i="33" s="1"/>
  <c r="AV14" i="33" s="1"/>
  <c r="AZ14" i="33" s="1"/>
  <c r="BD14" i="33" s="1"/>
  <c r="BH14" i="33" s="1"/>
  <c r="BL14" i="33" s="1"/>
  <c r="BP14" i="33" s="1"/>
  <c r="H11" i="33"/>
  <c r="L11" i="33" s="1"/>
  <c r="P11" i="33" s="1"/>
  <c r="T11" i="33" s="1"/>
  <c r="X11" i="33" s="1"/>
  <c r="AB11" i="33" s="1"/>
  <c r="AF11" i="33" s="1"/>
  <c r="AJ11" i="33" s="1"/>
  <c r="AN11" i="33" s="1"/>
  <c r="AR11" i="33" s="1"/>
  <c r="AV11" i="33" s="1"/>
  <c r="AZ11" i="33" s="1"/>
  <c r="BD11" i="33" s="1"/>
  <c r="BH11" i="33" s="1"/>
  <c r="BL11" i="33" s="1"/>
  <c r="BP11" i="33" s="1"/>
  <c r="BT11" i="33"/>
  <c r="BZ11" i="33" s="1"/>
  <c r="CF11" i="33" s="1"/>
  <c r="H9" i="33"/>
  <c r="L9" i="33" s="1"/>
  <c r="P9" i="33" s="1"/>
  <c r="T9" i="33" s="1"/>
  <c r="X9" i="33" s="1"/>
  <c r="AB9" i="33" s="1"/>
  <c r="AF9" i="33" s="1"/>
  <c r="AJ9" i="33" s="1"/>
  <c r="AN9" i="33" s="1"/>
  <c r="AR9" i="33" s="1"/>
  <c r="AV9" i="33" s="1"/>
  <c r="AZ9" i="33" s="1"/>
  <c r="BD9" i="33" s="1"/>
  <c r="BH9" i="33" s="1"/>
  <c r="BL9" i="33" s="1"/>
  <c r="BP9" i="33" s="1"/>
  <c r="BT9" i="33"/>
  <c r="BZ9" i="33" s="1"/>
  <c r="CF9" i="33" s="1"/>
  <c r="BE96" i="29"/>
  <c r="BD112" i="29" s="1"/>
  <c r="BK96" i="29"/>
  <c r="BQ96" i="29"/>
  <c r="M12" i="32"/>
  <c r="BK12" i="32"/>
  <c r="AC36" i="32"/>
  <c r="AG36" i="32" s="1"/>
  <c r="AK36" i="32" s="1"/>
  <c r="AO36" i="32" s="1"/>
  <c r="AS36" i="32" s="1"/>
  <c r="AW36" i="32" s="1"/>
  <c r="BM98" i="29"/>
  <c r="BL112" i="29"/>
  <c r="BP10" i="29"/>
  <c r="D7" i="34" s="1"/>
  <c r="BJ96" i="29"/>
  <c r="BO98" i="29"/>
  <c r="BO108" i="29"/>
  <c r="D105" i="34" l="1"/>
  <c r="H7" i="34"/>
  <c r="BL8" i="34"/>
  <c r="BH105" i="34"/>
  <c r="Q12" i="34"/>
  <c r="M105" i="34"/>
  <c r="BM21" i="34"/>
  <c r="BI105" i="34"/>
  <c r="L12" i="36"/>
  <c r="H113" i="36"/>
  <c r="BK108" i="29"/>
  <c r="E99" i="32"/>
  <c r="BE48" i="32"/>
  <c r="BK48" i="32" s="1"/>
  <c r="BQ48" i="32" s="1"/>
  <c r="I40" i="32"/>
  <c r="M40" i="32" s="1"/>
  <c r="Q40" i="32" s="1"/>
  <c r="U40" i="32" s="1"/>
  <c r="Y40" i="32" s="1"/>
  <c r="AC40" i="32" s="1"/>
  <c r="AG40" i="32" s="1"/>
  <c r="AK40" i="32" s="1"/>
  <c r="AO40" i="32" s="1"/>
  <c r="AS40" i="32" s="1"/>
  <c r="AW40" i="32" s="1"/>
  <c r="E100" i="33"/>
  <c r="D7" i="32"/>
  <c r="D99" i="32" s="1"/>
  <c r="D7" i="33"/>
  <c r="M12" i="33"/>
  <c r="CA12" i="33"/>
  <c r="BU49" i="33"/>
  <c r="CA49" i="33" s="1"/>
  <c r="CG49" i="33" s="1"/>
  <c r="I49" i="33"/>
  <c r="M49" i="33" s="1"/>
  <c r="Q49" i="33" s="1"/>
  <c r="U49" i="33" s="1"/>
  <c r="Y49" i="33" s="1"/>
  <c r="AC49" i="33" s="1"/>
  <c r="AG49" i="33" s="1"/>
  <c r="AK49" i="33" s="1"/>
  <c r="AO49" i="33" s="1"/>
  <c r="AS49" i="33" s="1"/>
  <c r="AW49" i="33" s="1"/>
  <c r="BA49" i="33" s="1"/>
  <c r="BE49" i="33" s="1"/>
  <c r="BI49" i="33" s="1"/>
  <c r="BM49" i="33" s="1"/>
  <c r="BQ49" i="33" s="1"/>
  <c r="BU41" i="33"/>
  <c r="CA41" i="33" s="1"/>
  <c r="CG41" i="33" s="1"/>
  <c r="I41" i="33"/>
  <c r="M41" i="33" s="1"/>
  <c r="Q41" i="33" s="1"/>
  <c r="U41" i="33" s="1"/>
  <c r="Y41" i="33" s="1"/>
  <c r="AC41" i="33" s="1"/>
  <c r="AG41" i="33" s="1"/>
  <c r="AK41" i="33" s="1"/>
  <c r="AO41" i="33" s="1"/>
  <c r="AS41" i="33" s="1"/>
  <c r="AW41" i="33" s="1"/>
  <c r="BA41" i="33" s="1"/>
  <c r="BE41" i="33" s="1"/>
  <c r="BI41" i="33" s="1"/>
  <c r="BM41" i="33" s="1"/>
  <c r="BQ41" i="33" s="1"/>
  <c r="BE99" i="32"/>
  <c r="BK98" i="29"/>
  <c r="BQ12" i="32"/>
  <c r="BQ99" i="32" s="1"/>
  <c r="BK99" i="32"/>
  <c r="Q12" i="32"/>
  <c r="BP96" i="29"/>
  <c r="M99" i="32" l="1"/>
  <c r="BD7" i="32"/>
  <c r="BJ7" i="32" s="1"/>
  <c r="I99" i="32"/>
  <c r="L7" i="34"/>
  <c r="H105" i="34"/>
  <c r="E100" i="32"/>
  <c r="P12" i="36"/>
  <c r="L113" i="36"/>
  <c r="BQ21" i="34"/>
  <c r="BM105" i="34"/>
  <c r="U12" i="34"/>
  <c r="Q105" i="34"/>
  <c r="BP8" i="34"/>
  <c r="BL105" i="34"/>
  <c r="CG12" i="33"/>
  <c r="CG100" i="33" s="1"/>
  <c r="CA100" i="33"/>
  <c r="M100" i="33"/>
  <c r="Q12" i="33"/>
  <c r="H7" i="32"/>
  <c r="L7" i="32" s="1"/>
  <c r="BU100" i="33"/>
  <c r="I100" i="33"/>
  <c r="D100" i="33"/>
  <c r="H7" i="33"/>
  <c r="BT7" i="33"/>
  <c r="H99" i="32"/>
  <c r="I100" i="32" s="1"/>
  <c r="Q99" i="32"/>
  <c r="U12" i="32"/>
  <c r="BD99" i="32"/>
  <c r="BQ108" i="29"/>
  <c r="BQ98" i="29"/>
  <c r="AA99" i="32"/>
  <c r="Z99" i="32"/>
  <c r="P7" i="34" l="1"/>
  <c r="L105" i="34"/>
  <c r="BT8" i="34"/>
  <c r="BP105" i="34"/>
  <c r="Y12" i="34"/>
  <c r="U105" i="34"/>
  <c r="BU21" i="34"/>
  <c r="BQ105" i="34"/>
  <c r="T12" i="36"/>
  <c r="P113" i="36"/>
  <c r="L7" i="33"/>
  <c r="H100" i="33"/>
  <c r="BT100" i="33"/>
  <c r="BZ7" i="33"/>
  <c r="U12" i="33"/>
  <c r="Q100" i="33"/>
  <c r="BJ99" i="32"/>
  <c r="BP7" i="32"/>
  <c r="BP99" i="32" s="1"/>
  <c r="U99" i="32"/>
  <c r="Y12" i="32"/>
  <c r="P7" i="32"/>
  <c r="L99" i="32"/>
  <c r="M100" i="32" s="1"/>
  <c r="AA100" i="32"/>
  <c r="X12" i="36" l="1"/>
  <c r="T113" i="36"/>
  <c r="BY21" i="34"/>
  <c r="BU105" i="34"/>
  <c r="AC12" i="34"/>
  <c r="Y105" i="34"/>
  <c r="BX8" i="34"/>
  <c r="BT105" i="34"/>
  <c r="T7" i="34"/>
  <c r="P105" i="34"/>
  <c r="U100" i="33"/>
  <c r="Y12" i="33"/>
  <c r="L100" i="33"/>
  <c r="P7" i="33"/>
  <c r="BZ100" i="33"/>
  <c r="CF7" i="33"/>
  <c r="CF100" i="33" s="1"/>
  <c r="Y99" i="32"/>
  <c r="AC12" i="32"/>
  <c r="T7" i="32"/>
  <c r="P99" i="32"/>
  <c r="Q100" i="32" s="1"/>
  <c r="T105" i="34" l="1"/>
  <c r="X7" i="34"/>
  <c r="CB8" i="34"/>
  <c r="BX105" i="34"/>
  <c r="AG12" i="34"/>
  <c r="AC105" i="34"/>
  <c r="CC21" i="34"/>
  <c r="BY105" i="34"/>
  <c r="AB12" i="36"/>
  <c r="X113" i="36"/>
  <c r="T7" i="33"/>
  <c r="P100" i="33"/>
  <c r="AC12" i="33"/>
  <c r="Y100" i="33"/>
  <c r="AC99" i="32"/>
  <c r="AG12" i="32"/>
  <c r="T99" i="32"/>
  <c r="U100" i="32" s="1"/>
  <c r="X7" i="32"/>
  <c r="AF12" i="36" l="1"/>
  <c r="AB113" i="36"/>
  <c r="CG21" i="34"/>
  <c r="CC105" i="34"/>
  <c r="AK12" i="34"/>
  <c r="AG105" i="34"/>
  <c r="CF8" i="34"/>
  <c r="CB105" i="34"/>
  <c r="AB7" i="34"/>
  <c r="X105" i="34"/>
  <c r="AC100" i="33"/>
  <c r="AG12" i="33"/>
  <c r="T100" i="33"/>
  <c r="X7" i="33"/>
  <c r="AB7" i="32"/>
  <c r="X99" i="32"/>
  <c r="Y100" i="32" s="1"/>
  <c r="AG99" i="32"/>
  <c r="AK12" i="32"/>
  <c r="AF7" i="34" l="1"/>
  <c r="AB105" i="34"/>
  <c r="CJ8" i="34"/>
  <c r="CF105" i="34"/>
  <c r="AO12" i="34"/>
  <c r="AK105" i="34"/>
  <c r="CK21" i="34"/>
  <c r="CG105" i="34"/>
  <c r="AJ12" i="36"/>
  <c r="AF113" i="36"/>
  <c r="AB7" i="33"/>
  <c r="X100" i="33"/>
  <c r="AK12" i="33"/>
  <c r="AG100" i="33"/>
  <c r="AK99" i="32"/>
  <c r="AO12" i="32"/>
  <c r="AB99" i="32"/>
  <c r="AC100" i="32" s="1"/>
  <c r="AF7" i="32"/>
  <c r="AN12" i="36" l="1"/>
  <c r="AJ113" i="36"/>
  <c r="CO21" i="34"/>
  <c r="CK105" i="34"/>
  <c r="AS12" i="34"/>
  <c r="AO105" i="34"/>
  <c r="CN8" i="34"/>
  <c r="CJ105" i="34"/>
  <c r="AJ7" i="34"/>
  <c r="AF105" i="34"/>
  <c r="AK100" i="33"/>
  <c r="AO12" i="33"/>
  <c r="AB100" i="33"/>
  <c r="AF7" i="33"/>
  <c r="AJ7" i="32"/>
  <c r="AF99" i="32"/>
  <c r="AG100" i="32" s="1"/>
  <c r="AO99" i="32"/>
  <c r="AS12" i="32"/>
  <c r="AJ105" i="34" l="1"/>
  <c r="AN7" i="34"/>
  <c r="CR8" i="34"/>
  <c r="CN105" i="34"/>
  <c r="AW12" i="34"/>
  <c r="AW105" i="34" s="1"/>
  <c r="AS105" i="34"/>
  <c r="CS21" i="34"/>
  <c r="CO105" i="34"/>
  <c r="AR12" i="36"/>
  <c r="AR113" i="36" s="1"/>
  <c r="AN113" i="36"/>
  <c r="AJ7" i="33"/>
  <c r="AF100" i="33"/>
  <c r="AS12" i="33"/>
  <c r="AO100" i="33"/>
  <c r="AW12" i="32"/>
  <c r="AW99" i="32" s="1"/>
  <c r="AS99" i="32"/>
  <c r="AJ99" i="32"/>
  <c r="AK100" i="32" s="1"/>
  <c r="AN7" i="32"/>
  <c r="AN105" i="34" l="1"/>
  <c r="AR7" i="34"/>
  <c r="CW21" i="34"/>
  <c r="CW105" i="34" s="1"/>
  <c r="E22" i="36"/>
  <c r="CS105" i="34"/>
  <c r="CV8" i="34"/>
  <c r="CV105" i="34" s="1"/>
  <c r="CR105" i="34"/>
  <c r="AW12" i="33"/>
  <c r="AS100" i="33"/>
  <c r="AJ100" i="33"/>
  <c r="AN7" i="33"/>
  <c r="AN99" i="32"/>
  <c r="AO100" i="32" s="1"/>
  <c r="AR7" i="32"/>
  <c r="E97" i="37" l="1"/>
  <c r="I22" i="36"/>
  <c r="E113" i="36"/>
  <c r="E115" i="36" s="1"/>
  <c r="AV7" i="34"/>
  <c r="AV105" i="34" s="1"/>
  <c r="AR105" i="34"/>
  <c r="BA12" i="33"/>
  <c r="AW100" i="33"/>
  <c r="AR7" i="33"/>
  <c r="AN100" i="33"/>
  <c r="AR99" i="32"/>
  <c r="AV7" i="32"/>
  <c r="AV99" i="32" s="1"/>
  <c r="AW100" i="32" s="1"/>
  <c r="M22" i="36" l="1"/>
  <c r="I113" i="36"/>
  <c r="I116" i="36" s="1"/>
  <c r="AV7" i="33"/>
  <c r="AR100" i="33"/>
  <c r="BE12" i="33"/>
  <c r="BI12" i="33" s="1"/>
  <c r="BA100" i="33"/>
  <c r="Q22" i="36" l="1"/>
  <c r="M113" i="36"/>
  <c r="BI100" i="33"/>
  <c r="BM12" i="33"/>
  <c r="BE100" i="33"/>
  <c r="AZ7" i="33"/>
  <c r="AV100" i="33"/>
  <c r="U22" i="36" l="1"/>
  <c r="Q113" i="36"/>
  <c r="BM100" i="33"/>
  <c r="BQ12" i="33"/>
  <c r="BQ100" i="33" s="1"/>
  <c r="BD7" i="33"/>
  <c r="BH7" i="33" s="1"/>
  <c r="AZ100" i="33"/>
  <c r="Y22" i="36" l="1"/>
  <c r="U113" i="36"/>
  <c r="BH100" i="33"/>
  <c r="BL7" i="33"/>
  <c r="BD100" i="33"/>
  <c r="AC22" i="36" l="1"/>
  <c r="Y113" i="36"/>
  <c r="BL100" i="33"/>
  <c r="BP7" i="33"/>
  <c r="BP100" i="33" s="1"/>
  <c r="AG22" i="36" l="1"/>
  <c r="AC113" i="36"/>
  <c r="AZ18" i="36"/>
  <c r="BB113" i="36"/>
  <c r="BD10" i="36"/>
  <c r="AK22" i="36" l="1"/>
  <c r="AG113" i="36"/>
  <c r="AZ10" i="36"/>
  <c r="BD12" i="36"/>
  <c r="AV12" i="36" s="1"/>
  <c r="BC113" i="36"/>
  <c r="BC114" i="36" s="1"/>
  <c r="BD113" i="36" l="1"/>
  <c r="AO22" i="36"/>
  <c r="AK113" i="36"/>
  <c r="AZ12" i="36"/>
  <c r="AS22" i="36" l="1"/>
  <c r="AO113" i="36"/>
  <c r="AZ86" i="36"/>
  <c r="BE22" i="36" l="1"/>
  <c r="AS113" i="36"/>
  <c r="AV73" i="36"/>
  <c r="AV113" i="36" s="1"/>
  <c r="AZ73" i="36" l="1"/>
  <c r="AZ113" i="36" s="1"/>
  <c r="AW22" i="36"/>
  <c r="BE113" i="36"/>
  <c r="BE114" i="36" s="1"/>
  <c r="BA22" i="36" l="1"/>
  <c r="BA113" i="36" s="1"/>
  <c r="BA115" i="36" s="1"/>
  <c r="AW113" i="36"/>
  <c r="AW115" i="36" s="1"/>
</calcChain>
</file>

<file path=xl/comments1.xml><?xml version="1.0" encoding="utf-8"?>
<comments xmlns="http://schemas.openxmlformats.org/spreadsheetml/2006/main">
  <authors>
    <author>KKD 2011 V.2</author>
  </authors>
  <commentList>
    <comment ref="AX70" authorId="0" shapeId="0">
      <text>
        <r>
          <rPr>
            <b/>
            <sz val="8"/>
            <color indexed="81"/>
            <rFont val="Tahoma"/>
            <family val="2"/>
          </rPr>
          <t>KKD 2011 V.2:</t>
        </r>
        <r>
          <rPr>
            <sz val="8"/>
            <color indexed="81"/>
            <rFont val="Tahoma"/>
            <family val="2"/>
          </rPr>
          <t xml:space="preserve">
550
</t>
        </r>
      </text>
    </comment>
  </commentList>
</comments>
</file>

<file path=xl/comments2.xml><?xml version="1.0" encoding="utf-8"?>
<comments xmlns="http://schemas.openxmlformats.org/spreadsheetml/2006/main">
  <authors>
    <author>KKD 2011 V.2</author>
  </authors>
  <commentList>
    <comment ref="AX69" authorId="0" shapeId="0">
      <text>
        <r>
          <rPr>
            <b/>
            <sz val="8"/>
            <color indexed="81"/>
            <rFont val="Tahoma"/>
            <family val="2"/>
          </rPr>
          <t>KKD 2011 V.2:</t>
        </r>
        <r>
          <rPr>
            <sz val="8"/>
            <color indexed="81"/>
            <rFont val="Tahoma"/>
            <family val="2"/>
          </rPr>
          <t xml:space="preserve">
550
</t>
        </r>
      </text>
    </comment>
  </commentList>
</comments>
</file>

<file path=xl/sharedStrings.xml><?xml version="1.0" encoding="utf-8"?>
<sst xmlns="http://schemas.openxmlformats.org/spreadsheetml/2006/main" count="1256" uniqueCount="298">
  <si>
    <t>เงินรอจ่ายคืน</t>
  </si>
  <si>
    <t>เงินสด</t>
  </si>
  <si>
    <t>ดอกเบี้ยเงินให้กู้ค้างรับ</t>
  </si>
  <si>
    <t>ทุนศึกษาอบรม</t>
  </si>
  <si>
    <t>ทุนสะสมให้มีสำนักงาน</t>
  </si>
  <si>
    <t>โบนัสกรรมการค้างจ่าย</t>
  </si>
  <si>
    <t>เงินปันผลค้างจ่าย</t>
  </si>
  <si>
    <t>สินค้าขาดบัญชี</t>
  </si>
  <si>
    <t>เงินรอเรียกคืน</t>
  </si>
  <si>
    <t>ยอดยกมา</t>
  </si>
  <si>
    <t>ค่าธรรมเนียมแรกเข้า</t>
  </si>
  <si>
    <t>ต้นทุนขาย</t>
  </si>
  <si>
    <t>ขายอาหารสัตว์</t>
  </si>
  <si>
    <t>ดอกเบี้ยรับจากเงินให้กู้</t>
  </si>
  <si>
    <t>ค่าใช้จ่ายทั่วไป</t>
  </si>
  <si>
    <t>ค่าเครื่องเขียนแบบพิมพ์</t>
  </si>
  <si>
    <t>ดอกเบี้ยจ่ายเงินรับฝาก</t>
  </si>
  <si>
    <t>ค่าเบี้ยประชุมกรรมการ</t>
  </si>
  <si>
    <t>ค่าเบี้ยเลี้ยงพาหนะ</t>
  </si>
  <si>
    <t>งบกำไรขาดทุน</t>
  </si>
  <si>
    <t>ลูกหนี้เงินกู้ระยะสั้น</t>
  </si>
  <si>
    <t>เครื่องใช้สำนักงาน</t>
  </si>
  <si>
    <t>ทุนสำรอง</t>
  </si>
  <si>
    <t>ซื้ออาหารสัตว์</t>
  </si>
  <si>
    <t>ค่าถ่ายเอกสาร</t>
  </si>
  <si>
    <t>เงินเดือนเจ้าหน้าที่สหกรณ์</t>
  </si>
  <si>
    <t>สหกรณ์การเกษตรพัฒนาป่าเขาฉกรรจ์-โนนสาวอ้  123  จำกัด</t>
  </si>
  <si>
    <t>งบทดลอง</t>
  </si>
  <si>
    <t xml:space="preserve">ณ   วันที่ </t>
  </si>
  <si>
    <t>ชื่อบัญชี</t>
  </si>
  <si>
    <t>ยอดยกมาต้นปี</t>
  </si>
  <si>
    <t>ยอดคงเหลือ</t>
  </si>
  <si>
    <t>รายการระหว่างปี</t>
  </si>
  <si>
    <t>ยอดคงเหลือสิ้นปี</t>
  </si>
  <si>
    <t>รายการปรับปรุง</t>
  </si>
  <si>
    <t>งบทดลองหลังการปรับปรุง</t>
  </si>
  <si>
    <t>งบต้นทุนขาย/บริการ</t>
  </si>
  <si>
    <t>งบดุล</t>
  </si>
  <si>
    <t>เดบิต</t>
  </si>
  <si>
    <t>เครดิต</t>
  </si>
  <si>
    <t>เงินฝากธกส.(อ.)278-2-18269-9</t>
  </si>
  <si>
    <t>เงินฝากออมสิน(อ.)03-7403-20-044454-2</t>
  </si>
  <si>
    <t>เงินฝากธกส(อ.)278-2-67002-6 ขับเคลื่อนฯ</t>
  </si>
  <si>
    <t>เงินฝากธกส.(อ.)278-2-81415-7 (พัฒนาศักยภาพ)</t>
  </si>
  <si>
    <t>เงินสดขาดบัญชี(นางเล็ก  เหินจันทึก)</t>
  </si>
  <si>
    <t>ค่าเผื่อหนี้สงสัยจะสูญเงินสดขาดบัญชี</t>
  </si>
  <si>
    <t>เงินฝากออมทรัพย์(สกก.เพื่อเกษตรกรไทยเขาฉกรรจ์  จก.)</t>
  </si>
  <si>
    <t>ลูกหนี้การค้า(อาหารสัตว์)</t>
  </si>
  <si>
    <t>ค่าเผื่อหนี้สงสัยจะสูญลูกหนี้การค้า</t>
  </si>
  <si>
    <t>ค่าเผื่อหนี้สงสัยจะสูญสินค้าขาดบัญชี</t>
  </si>
  <si>
    <t>ดอกเบี้ยชดเชยโครงการพักหนี้ฯปี55จากรัฐบาลค้างรับ-หนี้ค้างชำระ</t>
  </si>
  <si>
    <t>เงินโครงการพัฒนาศักยภาพ(งบจัดจ้าง จนท.) ค้างรับ</t>
  </si>
  <si>
    <t>หุ้นชุมนุมสหกรณ์จ.สระแก้ว</t>
  </si>
  <si>
    <t>ทดรองจ่ายเงินเดือนเจ้าหน้าที่สหกรณ์โครงการพัฒนาศักยภาพฯปี57</t>
  </si>
  <si>
    <t>ค่าเผื่อหนี้สงสัยจะสูญลูกหนี้ระยะสั้น</t>
  </si>
  <si>
    <t>ค่าเผื่อหนี้สงสัยจะสูญดอกเบี้ยเงินให้กู้ค้างรับ</t>
  </si>
  <si>
    <t>ค่าปรับผิดสัญญาเงินให้กู้ค้างรับ</t>
  </si>
  <si>
    <t>ค่าเผื่อหนี้สงสัยจะสูญค่าปรับเงินกู้ค้างรับ</t>
  </si>
  <si>
    <t>เงินรับฝากสัจจะออมทรัพย์</t>
  </si>
  <si>
    <t>ค่าบำรุงสันนิบาตสหกรณ์</t>
  </si>
  <si>
    <t>เงินรับฝากสัจจะออมทรัพย์รอตรวจสอบ</t>
  </si>
  <si>
    <t>เงินอุดหนุนกองทุนเพื่อการฟื้นฟูอาชีพสมาชิก ปี51</t>
  </si>
  <si>
    <t>เงินอุดหนุนโครงการพัฒนาศักยภาพฯปี57 (งบจัดจ้าง จนท.)</t>
  </si>
  <si>
    <t>เงินอุดหนุนโครงการพัฒนาศักยภาพฯ ปี57 (เป็นทุนหมุนเวียนธุรกิจสหกรณ์)</t>
  </si>
  <si>
    <t>เงินกองทุนเพื่อพัฒนาอาชีพอ.วังน้ำเย็น</t>
  </si>
  <si>
    <t>ทุนเรือนหุ้น</t>
  </si>
  <si>
    <t>ทุนสาธารณะประโยชน์</t>
  </si>
  <si>
    <t>รายได้ค่าปรับลูกหนี้เงินให้กู้</t>
  </si>
  <si>
    <t>รายได้อื่น</t>
  </si>
  <si>
    <t>ดอกเบี้ยรับชดเชยโครงการพักหนี้ฯปี55จากรัฐบาล-หนี้ค้างชำระ</t>
  </si>
  <si>
    <t>ดอกเบี้ยรับเงินฝากสหกรณ์อื่น</t>
  </si>
  <si>
    <t>ดอกเบี้ยรับเงินฝากธนาคาร</t>
  </si>
  <si>
    <t>ค่าน้ำ-ค่าไฟ</t>
  </si>
  <si>
    <t>ค่าใช้จ่ายวันประชุมใหญ่</t>
  </si>
  <si>
    <t>เงินสมทบกองทุนเงินทดแทน</t>
  </si>
  <si>
    <t>เงินสมทบกองทุนประกันสังคม (นายจ้าง)</t>
  </si>
  <si>
    <t>ค่าเสื่อมราคา-เครื่องใช้สำนักงาน</t>
  </si>
  <si>
    <t>ค่าเผื่อมูลค่าสินค้าลดลง</t>
  </si>
  <si>
    <t>กระดาษทำการงบทดลอง</t>
  </si>
  <si>
    <t>ลูกหนี้การค้า</t>
  </si>
  <si>
    <t>สำหรับปีสิ้นสุดวันที่  30 เมษายน 2558</t>
  </si>
  <si>
    <t>รหัสอ้างอิง</t>
  </si>
  <si>
    <t>เช็คระหว่างทาง</t>
  </si>
  <si>
    <t>เงินอุดหนุนโครงการพัฒนาศักยภาพฯปี58 (งบจัดจ้าง จนท.)</t>
  </si>
  <si>
    <t>ส่งคืนสินค้า</t>
  </si>
  <si>
    <t>เงินบริจาค</t>
  </si>
  <si>
    <t>ค่ารับรอง</t>
  </si>
  <si>
    <t>ค่าใช้จ่ายในการซื้อ</t>
  </si>
  <si>
    <t>กำไรสุทธิประจำปี</t>
  </si>
  <si>
    <t>หนี้สงสัยจะสูญ-ลูกหนี้การค้า</t>
  </si>
  <si>
    <t>หนี้สงสัยจะสูญ-ดอกเบี้ยเงินให้กู้ค้างรับ</t>
  </si>
  <si>
    <t>หนี้สงสัยจะสูญ-ค่าปรับผิดสัญญาเงินให้กู้ค้างรับ</t>
  </si>
  <si>
    <t>หนี้สงสัยจะสูญ-ลูกหนี้เงินให้กู้ระยะสั้น</t>
  </si>
  <si>
    <t>ขาดทุนสะสม</t>
  </si>
  <si>
    <t>กำไรจากการตีราคสินค้าเพิ่มขึ้น</t>
  </si>
  <si>
    <t>หน้า</t>
  </si>
  <si>
    <t>บัญชี</t>
  </si>
  <si>
    <t>ค่าโทรศัพท์</t>
  </si>
  <si>
    <t>A</t>
  </si>
  <si>
    <t>C</t>
  </si>
  <si>
    <t>D</t>
  </si>
  <si>
    <t>ทดรองจ่ายเงินเดือนเจ้าหน้าที่สหกรณ์โครงการพัฒนาศักยภาพฯปี58</t>
  </si>
  <si>
    <t>B</t>
  </si>
  <si>
    <t>E</t>
  </si>
  <si>
    <t>F</t>
  </si>
  <si>
    <t>6,7</t>
  </si>
  <si>
    <t>16,17</t>
  </si>
  <si>
    <t>8,18</t>
  </si>
  <si>
    <r>
      <rPr>
        <sz val="12"/>
        <rFont val="TH SarabunPSK"/>
        <family val="2"/>
      </rPr>
      <t>เงินอุดหนุนโครงการพัฒนาศักยภาพฯ ปี58</t>
    </r>
    <r>
      <rPr>
        <sz val="10"/>
        <rFont val="TH SarabunPSK"/>
        <family val="2"/>
      </rPr>
      <t xml:space="preserve"> (ให้ความรู้ด้านสหกรณ์และพัฒนาอาชีพ)</t>
    </r>
  </si>
  <si>
    <t>หนังสือยืนยันยอดลูกหนี้ เงินรับฝากและทุนเรือนหุ้น</t>
  </si>
  <si>
    <t>เลขที่..................</t>
  </si>
  <si>
    <t>เรียน......(ชื่อสมาชิก)....</t>
  </si>
  <si>
    <t>สหกรณ์การเกษตรพัฒนาป่าเขาฉกรรจ์-โนนสาวเอ้ 123 จำกัด</t>
  </si>
  <si>
    <t>สมาชิกเลขทะเบียนที่.................................</t>
  </si>
  <si>
    <t>ขอเรียนว่าท่านได้ทำธุกิจกับสหกรณ์ และมียอดคงเหลือต่างๆ ณ วันที่ 30 เมษายน 2558 ดังนี้</t>
  </si>
  <si>
    <t>จำนวนเงิน...................................บาท</t>
  </si>
  <si>
    <t>ขอแสดงความนับถือ</t>
  </si>
  <si>
    <t>(....ลงชื่อประธาน..........)</t>
  </si>
  <si>
    <t>วันที่............................</t>
  </si>
  <si>
    <t>เรียน</t>
  </si>
  <si>
    <t>นางนิศากร  พนมสัย  ผู้สอบบัญชี</t>
  </si>
  <si>
    <t>สำนักงานตรวจบัญชีสหกรณ์สระแก้ว</t>
  </si>
  <si>
    <t>ศาลากลางจังหวัดสระแก้ว (ชั้น3 ฝั่งตะวันออก)</t>
  </si>
  <si>
    <t>ตำบลท่าเกษม อำเภอเมือง จังหวัดสระแก้ว 27000</t>
  </si>
  <si>
    <t>ข้าพเจ้าขอยืนยันจำนวนเงินที่เป็นหนี้ เงินรับฝากและทุนเรือนหุ้น ระหว่างข้าพเจ้ากับ</t>
  </si>
  <si>
    <t>สหกรณ์การเกษตรพัฒนาป่าเขาฉกรรจ์-โนนสาวเอ้ 123 จำกัด   ณ วันที่   30 เมษายน 2558</t>
  </si>
  <si>
    <t>(   ) ถูกต้อง               (    ) ไม่ถูกต้อง     ดังนี้</t>
  </si>
  <si>
    <t>(....ลงชื่อสมาชิก..........)</t>
  </si>
  <si>
    <t>ส่วนลดค่าปรับผิดสัญญาเงินให้กู้ค้างรับ</t>
  </si>
  <si>
    <t>ส่วนลดรายได้ค่าปรับลูกหนี้เงินให้กู้</t>
  </si>
  <si>
    <t>ส่วนลดดอกเบี้ยเงินให้กู้ค้างรับ</t>
  </si>
  <si>
    <t>ส่วนลดดอกเบี้ยรับจากเงินให้กู้</t>
  </si>
  <si>
    <t xml:space="preserve">หมายเหตุ : โอนกำไรสุทธิประจำปีไปชดเชยขาดทุนสะสม </t>
  </si>
  <si>
    <t>Dr. กำไรสุทธิ              196,327.00</t>
  </si>
  <si>
    <t xml:space="preserve">         Cr. ขาดทุนสะสม                 196,327.00</t>
  </si>
  <si>
    <t>สินค้าคงเหลือยกมาต้นปี</t>
  </si>
  <si>
    <t>ลูกหนี้ระยะสั้นโครงการพักหนี้ฯ ปี 55 -หนี้ค้างชำระ</t>
  </si>
  <si>
    <t>5,8,7</t>
  </si>
  <si>
    <t>สินค้าคงเหลือสิ้นปี - สภาพปกติ</t>
  </si>
  <si>
    <t>G</t>
  </si>
  <si>
    <t>I</t>
  </si>
  <si>
    <t>J</t>
  </si>
  <si>
    <t>K</t>
  </si>
  <si>
    <t>L</t>
  </si>
  <si>
    <t>M</t>
  </si>
  <si>
    <t>N</t>
  </si>
  <si>
    <t>ลำดับ</t>
  </si>
  <si>
    <t>ที่</t>
  </si>
  <si>
    <t>ซื้อปุ๋ยและยาฆ่าแมลง</t>
  </si>
  <si>
    <t>ค่าเบี้ยเลี้ยง</t>
  </si>
  <si>
    <t>ค่าพาหนะ</t>
  </si>
  <si>
    <t>ค่าจ้างแรงงาน</t>
  </si>
  <si>
    <t>ขายปุ๋ยเคมี</t>
  </si>
  <si>
    <t>ทดรองจ่ายเงินเดือนเจ้าหน้าที่สหกรณ์</t>
  </si>
  <si>
    <t>เงินสมทบประจำปี 2558</t>
  </si>
  <si>
    <t>เงินสมทบประจำปี 2559</t>
  </si>
  <si>
    <t>ตำแหน่ง  เจ้าพนักงานส่งเสริมสหกรณ์</t>
  </si>
  <si>
    <t>ทดรองจ่ายเงินเดือนเจ้าหน้าที่สหกรณ์โครงการพัฒนาศักยภาพฯปี59</t>
  </si>
  <si>
    <t>ลงชื่อ................................................ผู้จัดทำ</t>
  </si>
  <si>
    <t xml:space="preserve">          ( นางอรณิชชา  สมมิตต์ )</t>
  </si>
  <si>
    <t xml:space="preserve">                                                                          สหกรณ์การเกษตรพัฒนาป่าเขาฉกรรจ์-โนนสาวอ้  123  จำกัด</t>
  </si>
  <si>
    <t xml:space="preserve">                                                                                                  งบทดลอง</t>
  </si>
  <si>
    <t xml:space="preserve">                                                                                           เดือนมีนาคม  2559</t>
  </si>
  <si>
    <t>ลูกหนี้การค้าปุ๋ยเคมี</t>
  </si>
  <si>
    <t>ขายปุ๋ยเคมีและยาปราบศัตรูพืช</t>
  </si>
  <si>
    <t>เงินอุดหนุนโครงการพัฒนาศักยภาพฯปี59 (งบจัดจ้าง จนท.)</t>
  </si>
  <si>
    <t xml:space="preserve">                                                                                    สหกรณ์การเกษตรพัฒนาป่าเขาฉกรรจ์-โนนสาวอ้  123  จำกัด</t>
  </si>
  <si>
    <t xml:space="preserve">                                                                                                            งบทดลอง</t>
  </si>
  <si>
    <t xml:space="preserve">                                                                                                  วันที่  25  พฤษภาคม  2559</t>
  </si>
  <si>
    <t xml:space="preserve">กำไรสุทธิประจำปี  </t>
  </si>
  <si>
    <t>เงินฝากธกส.(อ.)020073217536(เงินอุดหนุนพัฒนาศักยภาพ)</t>
  </si>
  <si>
    <t>ค่าตอบแทน</t>
  </si>
  <si>
    <t>ยอดคงเหลือยกมา</t>
  </si>
  <si>
    <t>อ.วังน้ำเย็น  จ.สระแก้ว</t>
  </si>
  <si>
    <t xml:space="preserve"> </t>
  </si>
  <si>
    <t xml:space="preserve">        </t>
  </si>
  <si>
    <t>จึงเรียนมาเพื่อโปรดพิจารณา</t>
  </si>
  <si>
    <t xml:space="preserve">    ขอแสดงความนับถือ</t>
  </si>
  <si>
    <t>สหกรณ์การเกษตรพัฒนาป่าเขาฉกรรจ์-โนนสาวเอ้  123  จำกัด</t>
  </si>
  <si>
    <t xml:space="preserve">           สหกรณ์การเกษตรพัฒนาป่าเขาฉกรรจ์- </t>
  </si>
  <si>
    <t xml:space="preserve">                                           โนนสาวเอ้ 123  จำกัด  ต.ทุ่งมหาเจริญ</t>
  </si>
  <si>
    <t xml:space="preserve">สิ่งที่ส่งมาด้วย     </t>
  </si>
  <si>
    <t xml:space="preserve">เรื่อง             </t>
  </si>
  <si>
    <t xml:space="preserve">เรียน       </t>
  </si>
  <si>
    <t>สหกรณ์การเกษตรพัฒนาป่าเขาฉกรรจ์โนนสาวเอ้ 123 จำกัด  ขอส่งงบทดลองประจำเดือน</t>
  </si>
  <si>
    <t>ผู้อำนวยการกลุ่มส่งเสริมสหกรณ์ 1</t>
  </si>
  <si>
    <t>เงินอุดหนุนโครงการพัฒนาศักยภาพฯ ปี 59 (งบจัดจ้าง จนท.)ค้างรับ</t>
  </si>
  <si>
    <t>หนี้สงสัยจะสูญ-ลุกหนี้เงินสดขาดบัญชี</t>
  </si>
  <si>
    <t>หนี้สงสัยจะสูญ-เงินฝากออมทรัพย์(สกก.เพื่อเกษตรกรไทยเขาฉกรรจ์ จก.)</t>
  </si>
  <si>
    <t>กำไรสุทธิประจำปี  2559</t>
  </si>
  <si>
    <t>ค่าเผื่อหนี้สงสัยจะสูญ-เงินฝากออมทรัพย์</t>
  </si>
  <si>
    <t>ค่าสมุดคู่บัญชีเงินกู้ (สมาชิกเข้าใหม่-เปลี่ยนเล่ม)</t>
  </si>
  <si>
    <t>รวม</t>
  </si>
  <si>
    <t>ที่  สกก.           /2560</t>
  </si>
  <si>
    <t>สำเนางบทดลองประจำเดือนมกราคม  จำนวน     1   ชุด</t>
  </si>
  <si>
    <t xml:space="preserve">    (นายสัมพันธ์  แซ่เซ้า)</t>
  </si>
  <si>
    <t xml:space="preserve">       ประธานกรรมการ</t>
  </si>
  <si>
    <t>เงินสมทบประจำปี 2560</t>
  </si>
  <si>
    <t>เงินสมทบกองทุนเงินทดแทน ปี 2560</t>
  </si>
  <si>
    <t>ค่าธรรมเนียมศาลและค่าทนาย</t>
  </si>
  <si>
    <t>วันที่       มีนาคม  2560</t>
  </si>
  <si>
    <t>ส่งงบทดลองประจำเดือนมีนาคม</t>
  </si>
  <si>
    <t>มีนาคม 2560  ดังเอกสารที่แนบมาด้วย</t>
  </si>
  <si>
    <t>ลำดับที่</t>
  </si>
  <si>
    <t>ค่าโทรศัพท์+ ค่าอินเตอร์เน็ต</t>
  </si>
  <si>
    <t>ยอดคงเหลือยกมาต้นปี  30 เมษายน 2559</t>
  </si>
  <si>
    <t>ค่าซ่อมแซมมอาคาร-สำนักงาน</t>
  </si>
  <si>
    <t>ยอดคงเหลือยกไป</t>
  </si>
  <si>
    <t>ยอดคงเหลือยกมาต้นปี</t>
  </si>
  <si>
    <t>30 เมษายน 2560</t>
  </si>
  <si>
    <t xml:space="preserve">                                                                                                  วันที่  25 ตุลาคม 2560</t>
  </si>
  <si>
    <t>หมวดหนี้สิน</t>
  </si>
  <si>
    <t>หมวดสินทรัพย์</t>
  </si>
  <si>
    <t>หมวดทุน</t>
  </si>
  <si>
    <t>หมวดรายได้</t>
  </si>
  <si>
    <t>ดอกเบี้ยรับจากเงินให้กู้-ค้างรับ</t>
  </si>
  <si>
    <t>รายได้ค่าปรับลูกหนี้เงินให้กู้-ค้างรับ</t>
  </si>
  <si>
    <t>หมวดค่าใช้จ่าย</t>
  </si>
  <si>
    <t>หนี้สงสัยจะสูญ-ลูกหนี้เงินสดขาดบัญชี</t>
  </si>
  <si>
    <t>ขาดทุนสุทธิประจำปี  2560</t>
  </si>
  <si>
    <t>ค่าวัสดุสำนักงาน เช่น งานครัว งานก่อสร้าง งานเกษตร</t>
  </si>
  <si>
    <t>ค่าซ่อมแซม วัสดุอุปกรณ์ เครื่องใช้ สำนักงาน -อาคาร</t>
  </si>
  <si>
    <t>เงินสมทบกองทุนประกันสังคม (นายจ้าง) ปี60-61</t>
  </si>
  <si>
    <t>เงินอุดหนุนโครงการพัฒนาศักยภาพฯปี 2561 (งบจัดจ้าง จนท.)</t>
  </si>
  <si>
    <t>เงินอุดหนุนโครงการพัฒนาศักยภาพฯปี 2561 (งบสนับสนุนกลุ่มไม้ผลยืนต้น)</t>
  </si>
  <si>
    <t xml:space="preserve">                                                                                                            งบทดลองประจำเดือน</t>
  </si>
  <si>
    <t>เงินสมทบกองทุนเงินทดแทน ปี 2561</t>
  </si>
  <si>
    <t>เงินสมทบประจำปี 2561</t>
  </si>
  <si>
    <t>รายการระหว่างปีบัญชี 30 เมษายน 2561</t>
  </si>
  <si>
    <t>ยอดคงเหลือสิ้นปี  30 เมษายน 2561</t>
  </si>
  <si>
    <t xml:space="preserve">                                                                                                  วันที่  26  มีนาคม 2561</t>
  </si>
  <si>
    <t>ลูกหนี้เงินกู้ระยะสั้น-ปกติ</t>
  </si>
  <si>
    <t>ลูกหนี้เงินกู้ระยะสั้น-สุกร</t>
  </si>
  <si>
    <t>ลูกหนี้เงินกู้ระยะสั้น-ผัก</t>
  </si>
  <si>
    <t>ยอดคงเหลือยกยกมา</t>
  </si>
  <si>
    <t>ดอกเบี้ยรับจากเงินให้กู้-รับจริง (ดอกเบี้ยปี)</t>
  </si>
  <si>
    <t>รายได้ค่าปรับลูกหนี้เงินให้กู้-รับจริง (ค่าปรับปี)</t>
  </si>
  <si>
    <t>ดอกเบี้ยเงินให้กู้ค้างรับ (ดอกเบี้ยค้าง)</t>
  </si>
  <si>
    <t>ค่าปรับผิดสัญญาเงินให้กู้ค้างรับ (ค่าปรับค้าง)</t>
  </si>
  <si>
    <t>ค่าเสื่อมราคาสะสม-เครื่องใช้สำนักงาน</t>
  </si>
  <si>
    <t>ค่าเผื่อหนี้สงสัยจะสูญลูกหนี้ตามคำพิพากษา</t>
  </si>
  <si>
    <t>ดอกเบี้ยค้างรับ-ลูกหนี้ตามคำพิพากษา</t>
  </si>
  <si>
    <t>ค่าเผื่อหนี้สงสัยจะสูญ-ดอกเบี้ยค้างรับลูกหนี้ตามคำพิพากษา</t>
  </si>
  <si>
    <t>ค่าเผื่อมูลค่าสินค้าลดลงจากการตีราคา</t>
  </si>
  <si>
    <t>ขายสารปรับปรุงดินและยาปราบศัตรูพืช</t>
  </si>
  <si>
    <t>ค่าธรรมเนียมธนาคาร</t>
  </si>
  <si>
    <t>เงินฝากธกส (อ.)278-2-67002-6 ขับเคลื่อนฯ</t>
  </si>
  <si>
    <t>เงินฝากธกส.(อ.)020073217536 (พัฒนาศักยภาพ)</t>
  </si>
  <si>
    <t>เงินฝากธกส.(อ.)020160758288 โครงการลดดอกเบี้ย</t>
  </si>
  <si>
    <t>ลูกหนี้ตามคำพิพากษา</t>
  </si>
  <si>
    <t>เงินประกันการใช้ไฟฟ้า</t>
  </si>
  <si>
    <t>เงินรับฝากออมทรัพย์</t>
  </si>
  <si>
    <t>เงินอุดหนุนโครงการพัฒนาศักยภาพฯ ปี 57 (เป็นทุนหมุนเวียนธุรกิจสหกรณ์)</t>
  </si>
  <si>
    <t>เงินอุดหนุนโครงการพัฒนาศักยภาพฯ ปี 58 (ให้ความรู้ด้านสหกรณ์และพัฒนาอาชีพ)</t>
  </si>
  <si>
    <t>เงินกองทุนเพื่อพัฒนาอาชีพ อ.วังน้ำเย็น</t>
  </si>
  <si>
    <t xml:space="preserve">ขาดทุนสุทธิประจำปี </t>
  </si>
  <si>
    <t>ดอกเบี้ยรับจากเงินให้กู้ -รับจริง</t>
  </si>
  <si>
    <t>ดอกเบี้ยรับจากเงินให้กู้ -ค้างรับ</t>
  </si>
  <si>
    <t xml:space="preserve">รายได้ค่าปรับลูกหนี้เงินให้กู้ </t>
  </si>
  <si>
    <t>ดอกเบี้ยรับ-ลูกหนี้ตามคำพิพากษา</t>
  </si>
  <si>
    <t>รายได้อื่น ๆ</t>
  </si>
  <si>
    <t>ค่าน้ำ-ค่าไฟ (ค่าสาธารณูปโภค)</t>
  </si>
  <si>
    <t>ค่าซ่อมแซม วัสดุอุปกรณ์ เครื่องใช้สำนักงาน-อาคาร</t>
  </si>
  <si>
    <t>ค่าทนาย</t>
  </si>
  <si>
    <t>เงินสมทบกองทุนประกันสังคมประจำปี (ส่วนของนายจ้าง)</t>
  </si>
  <si>
    <t>ค่าโทรศัพท์-ค่าอินเตอร์เน็ต</t>
  </si>
  <si>
    <t>ค่าไปรษณีย์</t>
  </si>
  <si>
    <t>ส่วนลดดอกเบี้ย</t>
  </si>
  <si>
    <t>หนี้สงสัยจะสูญลูกหนี้เงินกู้</t>
  </si>
  <si>
    <t>หนี้สงสัยจะสูญลูกหนี้การค้า</t>
  </si>
  <si>
    <t>หนี้สงสัยจะสูญดอกเบี้ยเงินกู้ค้างรับ</t>
  </si>
  <si>
    <t>หนี้สงสัยจะสูญค่าปรับเงินให้กู้ค้างรับ</t>
  </si>
  <si>
    <t>หนี้สงสัยจะสูญ-ดอกเบี้ยค้างรับลูกหนี้ตามคำพิพากษา</t>
  </si>
  <si>
    <t>ค่าใช้จ่ายธุรกิจสินเชื่อ</t>
  </si>
  <si>
    <t>ค่าเสื่อมราคาเครื่องใช้สำนักงาน</t>
  </si>
  <si>
    <t>ขาดทุนจากการตีราคาสินค้าลดลง</t>
  </si>
  <si>
    <t>กำไร - ขาดทุน สุทธิประจำปี</t>
  </si>
  <si>
    <t>เงินสมทบกองทุนเงินทดแทน ประจำปี 2566</t>
  </si>
  <si>
    <t>ส่วนลดเงินต้น</t>
  </si>
  <si>
    <t>ส่วนลดค่าปรับ</t>
  </si>
  <si>
    <t>ค่าเผื่อหนี้สงสัยจะสูญ-ดอกเบี้ยชดเชยโครงการพักหนี้ฯปี55จากรัฐบาลค้างรับ</t>
  </si>
  <si>
    <t>เงินประกันสังคมค้างจ่าย</t>
  </si>
  <si>
    <t>ค่าอินเตอร์เน็ตค้างจ่าย</t>
  </si>
  <si>
    <t>1,19</t>
  </si>
  <si>
    <t>20,24</t>
  </si>
  <si>
    <t>26,29</t>
  </si>
  <si>
    <t>43,49</t>
  </si>
  <si>
    <t>50,51</t>
  </si>
  <si>
    <t>52,53</t>
  </si>
  <si>
    <t>56,60</t>
  </si>
  <si>
    <t>62,66</t>
  </si>
  <si>
    <t>71,77</t>
  </si>
  <si>
    <t>84,88</t>
  </si>
  <si>
    <t>95-99</t>
  </si>
  <si>
    <t>เงินอุดหนุนโครงการพัฒนาศักยภาพ ปี 68-69 (จัดจ้างเจ้าหน้าที่ สก.)</t>
  </si>
  <si>
    <t>ค่าเผื่อหนี้สงสัยจะสูญเงินรอเรียกคืน</t>
  </si>
  <si>
    <t xml:space="preserve">                                                                                                         สิ้นสุดวันที่ 30 เมษายน 2569</t>
  </si>
  <si>
    <r>
      <t xml:space="preserve">                                                                                                   </t>
    </r>
    <r>
      <rPr>
        <b/>
        <sz val="16"/>
        <rFont val="TH SarabunPSK"/>
        <family val="2"/>
      </rPr>
      <t>งบทดลองประจำเดือน  ธันวาคม 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</si>
</sst>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31" x14ac:knownFonts="1">
    <font>
      <sz val="10"/>
      <name val="Arial"/>
      <charset val="22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TH SarabunPSK"/>
      <family val="2"/>
    </font>
    <font>
      <b/>
      <sz val="10"/>
      <name val="Arial"/>
      <family val="2"/>
    </font>
    <font>
      <sz val="13"/>
      <name val="TH SarabunPSK"/>
      <family val="2"/>
    </font>
    <font>
      <sz val="16"/>
      <name val="Angsana New"/>
      <family val="1"/>
    </font>
    <font>
      <sz val="10"/>
      <name val="Arial"/>
      <family val="2"/>
    </font>
    <font>
      <sz val="16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Arial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5">
    <xf numFmtId="0" fontId="0" fillId="0" borderId="0"/>
    <xf numFmtId="43" fontId="5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5" fillId="0" borderId="0"/>
    <xf numFmtId="0" fontId="7" fillId="0" borderId="0"/>
    <xf numFmtId="43" fontId="2" fillId="0" borderId="0" applyFont="0" applyFill="0" applyBorder="0" applyAlignment="0" applyProtection="0"/>
    <xf numFmtId="39" fontId="4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3" fillId="0" borderId="0"/>
    <xf numFmtId="0" fontId="12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364">
    <xf numFmtId="0" fontId="0" fillId="0" borderId="0" xfId="0"/>
    <xf numFmtId="1" fontId="10" fillId="0" borderId="0" xfId="10" applyNumberFormat="1" applyFont="1" applyFill="1" applyAlignment="1"/>
    <xf numFmtId="0" fontId="8" fillId="0" borderId="0" xfId="10" applyFont="1" applyFill="1"/>
    <xf numFmtId="1" fontId="8" fillId="0" borderId="0" xfId="10" applyNumberFormat="1" applyFont="1" applyFill="1" applyAlignment="1">
      <alignment horizontal="center"/>
    </xf>
    <xf numFmtId="1" fontId="10" fillId="0" borderId="1" xfId="10" applyNumberFormat="1" applyFont="1" applyFill="1" applyBorder="1" applyAlignment="1"/>
    <xf numFmtId="1" fontId="10" fillId="0" borderId="3" xfId="10" applyNumberFormat="1" applyFont="1" applyFill="1" applyBorder="1" applyAlignment="1">
      <alignment horizontal="center" vertical="center"/>
    </xf>
    <xf numFmtId="43" fontId="8" fillId="0" borderId="0" xfId="10" applyNumberFormat="1" applyFont="1" applyFill="1" applyBorder="1"/>
    <xf numFmtId="1" fontId="10" fillId="0" borderId="5" xfId="10" applyNumberFormat="1" applyFont="1" applyFill="1" applyBorder="1" applyAlignment="1">
      <alignment horizontal="center"/>
    </xf>
    <xf numFmtId="0" fontId="10" fillId="0" borderId="5" xfId="10" applyFont="1" applyFill="1" applyBorder="1"/>
    <xf numFmtId="0" fontId="10" fillId="0" borderId="5" xfId="10" applyFont="1" applyFill="1" applyBorder="1" applyAlignment="1">
      <alignment horizontal="center"/>
    </xf>
    <xf numFmtId="187" fontId="8" fillId="0" borderId="5" xfId="8" applyFont="1" applyFill="1" applyBorder="1"/>
    <xf numFmtId="1" fontId="8" fillId="0" borderId="5" xfId="8" applyNumberFormat="1" applyFont="1" applyFill="1" applyBorder="1" applyAlignment="1">
      <alignment horizontal="center"/>
    </xf>
    <xf numFmtId="1" fontId="8" fillId="0" borderId="0" xfId="10" applyNumberFormat="1" applyFont="1" applyFill="1" applyBorder="1"/>
    <xf numFmtId="0" fontId="8" fillId="0" borderId="0" xfId="10" applyFont="1" applyFill="1" applyBorder="1"/>
    <xf numFmtId="1" fontId="8" fillId="0" borderId="0" xfId="10" applyNumberFormat="1" applyFont="1" applyFill="1" applyBorder="1" applyAlignment="1">
      <alignment horizontal="center"/>
    </xf>
    <xf numFmtId="187" fontId="8" fillId="0" borderId="0" xfId="8" applyFont="1" applyFill="1" applyBorder="1"/>
    <xf numFmtId="187" fontId="8" fillId="0" borderId="0" xfId="10" applyNumberFormat="1" applyFont="1" applyFill="1" applyBorder="1"/>
    <xf numFmtId="1" fontId="8" fillId="0" borderId="0" xfId="10" applyNumberFormat="1" applyFont="1" applyFill="1"/>
    <xf numFmtId="43" fontId="8" fillId="0" borderId="0" xfId="10" applyNumberFormat="1" applyFont="1" applyFill="1"/>
    <xf numFmtId="0" fontId="8" fillId="2" borderId="0" xfId="10" applyFont="1" applyFill="1"/>
    <xf numFmtId="1" fontId="8" fillId="0" borderId="6" xfId="10" applyNumberFormat="1" applyFont="1" applyFill="1" applyBorder="1" applyAlignment="1">
      <alignment horizontal="center"/>
    </xf>
    <xf numFmtId="0" fontId="8" fillId="0" borderId="6" xfId="10" applyFont="1" applyFill="1" applyBorder="1"/>
    <xf numFmtId="0" fontId="8" fillId="0" borderId="6" xfId="10" applyFont="1" applyFill="1" applyBorder="1" applyAlignment="1">
      <alignment horizontal="center"/>
    </xf>
    <xf numFmtId="187" fontId="8" fillId="0" borderId="6" xfId="8" applyFont="1" applyFill="1" applyBorder="1"/>
    <xf numFmtId="43" fontId="8" fillId="0" borderId="6" xfId="8" applyNumberFormat="1" applyFont="1" applyFill="1" applyBorder="1"/>
    <xf numFmtId="1" fontId="8" fillId="0" borderId="6" xfId="8" applyNumberFormat="1" applyFont="1" applyFill="1" applyBorder="1" applyAlignment="1">
      <alignment horizontal="center"/>
    </xf>
    <xf numFmtId="43" fontId="8" fillId="0" borderId="6" xfId="10" applyNumberFormat="1" applyFont="1" applyFill="1" applyBorder="1"/>
    <xf numFmtId="1" fontId="8" fillId="0" borderId="7" xfId="10" applyNumberFormat="1" applyFont="1" applyFill="1" applyBorder="1" applyAlignment="1">
      <alignment horizontal="center"/>
    </xf>
    <xf numFmtId="0" fontId="8" fillId="0" borderId="7" xfId="10" applyFont="1" applyFill="1" applyBorder="1"/>
    <xf numFmtId="0" fontId="8" fillId="0" borderId="7" xfId="10" applyFont="1" applyFill="1" applyBorder="1" applyAlignment="1">
      <alignment horizontal="center"/>
    </xf>
    <xf numFmtId="187" fontId="8" fillId="0" borderId="7" xfId="8" applyFont="1" applyFill="1" applyBorder="1"/>
    <xf numFmtId="1" fontId="8" fillId="0" borderId="7" xfId="8" applyNumberFormat="1" applyFont="1" applyFill="1" applyBorder="1" applyAlignment="1">
      <alignment horizontal="center"/>
    </xf>
    <xf numFmtId="43" fontId="8" fillId="0" borderId="7" xfId="10" applyNumberFormat="1" applyFont="1" applyFill="1" applyBorder="1"/>
    <xf numFmtId="1" fontId="8" fillId="2" borderId="7" xfId="10" applyNumberFormat="1" applyFont="1" applyFill="1" applyBorder="1" applyAlignment="1">
      <alignment horizontal="center"/>
    </xf>
    <xf numFmtId="0" fontId="8" fillId="2" borderId="7" xfId="10" applyFont="1" applyFill="1" applyBorder="1"/>
    <xf numFmtId="0" fontId="8" fillId="2" borderId="7" xfId="10" applyFont="1" applyFill="1" applyBorder="1" applyAlignment="1">
      <alignment horizontal="center"/>
    </xf>
    <xf numFmtId="187" fontId="8" fillId="2" borderId="7" xfId="8" applyFont="1" applyFill="1" applyBorder="1"/>
    <xf numFmtId="1" fontId="8" fillId="2" borderId="7" xfId="8" applyNumberFormat="1" applyFont="1" applyFill="1" applyBorder="1" applyAlignment="1">
      <alignment horizontal="center"/>
    </xf>
    <xf numFmtId="43" fontId="8" fillId="2" borderId="7" xfId="10" applyNumberFormat="1" applyFont="1" applyFill="1" applyBorder="1"/>
    <xf numFmtId="1" fontId="8" fillId="0" borderId="8" xfId="10" applyNumberFormat="1" applyFont="1" applyFill="1" applyBorder="1" applyAlignment="1">
      <alignment horizontal="center"/>
    </xf>
    <xf numFmtId="0" fontId="8" fillId="0" borderId="8" xfId="10" applyFont="1" applyFill="1" applyBorder="1"/>
    <xf numFmtId="187" fontId="8" fillId="0" borderId="8" xfId="8" applyFont="1" applyFill="1" applyBorder="1"/>
    <xf numFmtId="1" fontId="8" fillId="0" borderId="8" xfId="8" applyNumberFormat="1" applyFont="1" applyFill="1" applyBorder="1" applyAlignment="1">
      <alignment horizontal="center"/>
    </xf>
    <xf numFmtId="43" fontId="8" fillId="0" borderId="8" xfId="10" applyNumberFormat="1" applyFont="1" applyFill="1" applyBorder="1"/>
    <xf numFmtId="0" fontId="17" fillId="0" borderId="7" xfId="10" applyFont="1" applyFill="1" applyBorder="1"/>
    <xf numFmtId="1" fontId="9" fillId="0" borderId="7" xfId="8" applyNumberFormat="1" applyFont="1" applyFill="1" applyBorder="1" applyAlignment="1">
      <alignment horizontal="center"/>
    </xf>
    <xf numFmtId="0" fontId="11" fillId="0" borderId="7" xfId="10" applyFont="1" applyFill="1" applyBorder="1"/>
    <xf numFmtId="0" fontId="9" fillId="0" borderId="7" xfId="10" applyFont="1" applyFill="1" applyBorder="1"/>
    <xf numFmtId="1" fontId="11" fillId="0" borderId="7" xfId="10" applyNumberFormat="1" applyFont="1" applyFill="1" applyBorder="1" applyAlignment="1">
      <alignment horizontal="center"/>
    </xf>
    <xf numFmtId="0" fontId="17" fillId="2" borderId="7" xfId="10" applyFont="1" applyFill="1" applyBorder="1"/>
    <xf numFmtId="1" fontId="9" fillId="0" borderId="7" xfId="10" applyNumberFormat="1" applyFont="1" applyFill="1" applyBorder="1" applyAlignment="1">
      <alignment horizontal="center"/>
    </xf>
    <xf numFmtId="187" fontId="8" fillId="0" borderId="9" xfId="8" applyFont="1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0" xfId="0" applyFont="1" applyAlignment="1">
      <alignment horizontal="left"/>
    </xf>
    <xf numFmtId="0" fontId="10" fillId="0" borderId="0" xfId="10" applyFont="1" applyFill="1"/>
    <xf numFmtId="0" fontId="10" fillId="0" borderId="4" xfId="10" applyFont="1" applyFill="1" applyBorder="1" applyAlignment="1">
      <alignment horizontal="center"/>
    </xf>
    <xf numFmtId="1" fontId="10" fillId="0" borderId="4" xfId="10" applyNumberFormat="1" applyFont="1" applyFill="1" applyBorder="1" applyAlignment="1">
      <alignment horizontal="center"/>
    </xf>
    <xf numFmtId="43" fontId="20" fillId="0" borderId="4" xfId="11" applyFont="1" applyFill="1" applyBorder="1" applyAlignment="1">
      <alignment shrinkToFit="1"/>
    </xf>
    <xf numFmtId="1" fontId="8" fillId="0" borderId="10" xfId="10" applyNumberFormat="1" applyFont="1" applyFill="1" applyBorder="1" applyAlignment="1">
      <alignment horizontal="center"/>
    </xf>
    <xf numFmtId="187" fontId="8" fillId="0" borderId="10" xfId="8" applyFont="1" applyFill="1" applyBorder="1"/>
    <xf numFmtId="43" fontId="8" fillId="0" borderId="10" xfId="8" applyNumberFormat="1" applyFont="1" applyFill="1" applyBorder="1"/>
    <xf numFmtId="1" fontId="8" fillId="0" borderId="3" xfId="10" applyNumberFormat="1" applyFont="1" applyFill="1" applyBorder="1" applyAlignment="1">
      <alignment horizontal="center"/>
    </xf>
    <xf numFmtId="187" fontId="8" fillId="0" borderId="12" xfId="8" applyFont="1" applyFill="1" applyBorder="1"/>
    <xf numFmtId="187" fontId="8" fillId="0" borderId="3" xfId="8" applyFont="1" applyFill="1" applyBorder="1"/>
    <xf numFmtId="1" fontId="8" fillId="0" borderId="4" xfId="10" applyNumberFormat="1" applyFont="1" applyFill="1" applyBorder="1" applyAlignment="1">
      <alignment horizontal="center"/>
    </xf>
    <xf numFmtId="187" fontId="8" fillId="0" borderId="4" xfId="8" applyFont="1" applyFill="1" applyBorder="1"/>
    <xf numFmtId="43" fontId="8" fillId="0" borderId="4" xfId="10" applyNumberFormat="1" applyFont="1" applyFill="1" applyBorder="1"/>
    <xf numFmtId="0" fontId="20" fillId="0" borderId="4" xfId="0" applyFont="1" applyFill="1" applyBorder="1" applyAlignment="1">
      <alignment shrinkToFit="1"/>
    </xf>
    <xf numFmtId="0" fontId="20" fillId="0" borderId="4" xfId="0" applyFont="1" applyFill="1" applyBorder="1" applyAlignment="1">
      <alignment horizontal="center"/>
    </xf>
    <xf numFmtId="187" fontId="10" fillId="0" borderId="5" xfId="8" applyFont="1" applyFill="1" applyBorder="1"/>
    <xf numFmtId="1" fontId="10" fillId="0" borderId="5" xfId="8" applyNumberFormat="1" applyFont="1" applyFill="1" applyBorder="1" applyAlignment="1">
      <alignment horizontal="center"/>
    </xf>
    <xf numFmtId="43" fontId="10" fillId="0" borderId="0" xfId="10" applyNumberFormat="1" applyFont="1" applyFill="1"/>
    <xf numFmtId="43" fontId="8" fillId="0" borderId="10" xfId="11" applyFont="1" applyFill="1" applyBorder="1" applyAlignment="1">
      <alignment shrinkToFit="1"/>
    </xf>
    <xf numFmtId="43" fontId="8" fillId="0" borderId="4" xfId="11" applyFont="1" applyFill="1" applyBorder="1" applyAlignment="1">
      <alignment shrinkToFit="1"/>
    </xf>
    <xf numFmtId="43" fontId="20" fillId="0" borderId="4" xfId="11" applyFont="1" applyFill="1" applyBorder="1"/>
    <xf numFmtId="43" fontId="20" fillId="0" borderId="4" xfId="0" applyNumberFormat="1" applyFont="1" applyFill="1" applyBorder="1"/>
    <xf numFmtId="0" fontId="20" fillId="0" borderId="4" xfId="0" applyFont="1" applyFill="1" applyBorder="1"/>
    <xf numFmtId="0" fontId="8" fillId="0" borderId="10" xfId="10" applyFont="1" applyFill="1" applyBorder="1" applyAlignment="1">
      <alignment shrinkToFit="1"/>
    </xf>
    <xf numFmtId="0" fontId="8" fillId="0" borderId="4" xfId="10" applyFont="1" applyFill="1" applyBorder="1" applyAlignment="1">
      <alignment shrinkToFit="1"/>
    </xf>
    <xf numFmtId="0" fontId="17" fillId="0" borderId="4" xfId="10" applyFont="1" applyFill="1" applyBorder="1" applyAlignment="1">
      <alignment shrinkToFit="1"/>
    </xf>
    <xf numFmtId="0" fontId="11" fillId="0" borderId="4" xfId="10" applyFont="1" applyFill="1" applyBorder="1" applyAlignment="1">
      <alignment shrinkToFit="1"/>
    </xf>
    <xf numFmtId="0" fontId="9" fillId="0" borderId="4" xfId="10" applyFont="1" applyFill="1" applyBorder="1" applyAlignment="1">
      <alignment shrinkToFit="1"/>
    </xf>
    <xf numFmtId="0" fontId="8" fillId="0" borderId="3" xfId="10" applyFont="1" applyFill="1" applyBorder="1" applyAlignment="1">
      <alignment shrinkToFit="1"/>
    </xf>
    <xf numFmtId="0" fontId="10" fillId="0" borderId="5" xfId="10" applyFont="1" applyFill="1" applyBorder="1" applyAlignment="1">
      <alignment shrinkToFit="1"/>
    </xf>
    <xf numFmtId="0" fontId="8" fillId="0" borderId="0" xfId="10" applyFont="1" applyFill="1" applyBorder="1" applyAlignment="1">
      <alignment shrinkToFit="1"/>
    </xf>
    <xf numFmtId="0" fontId="8" fillId="0" borderId="0" xfId="10" applyFont="1" applyFill="1" applyAlignment="1">
      <alignment shrinkToFit="1"/>
    </xf>
    <xf numFmtId="0" fontId="10" fillId="3" borderId="4" xfId="10" applyFont="1" applyFill="1" applyBorder="1" applyAlignment="1">
      <alignment horizontal="center"/>
    </xf>
    <xf numFmtId="187" fontId="8" fillId="3" borderId="10" xfId="8" applyFont="1" applyFill="1" applyBorder="1"/>
    <xf numFmtId="187" fontId="8" fillId="3" borderId="4" xfId="8" applyFont="1" applyFill="1" applyBorder="1"/>
    <xf numFmtId="43" fontId="20" fillId="3" borderId="4" xfId="11" applyFont="1" applyFill="1" applyBorder="1" applyAlignment="1">
      <alignment shrinkToFit="1"/>
    </xf>
    <xf numFmtId="187" fontId="8" fillId="3" borderId="3" xfId="8" applyFont="1" applyFill="1" applyBorder="1"/>
    <xf numFmtId="187" fontId="10" fillId="3" borderId="5" xfId="8" applyFont="1" applyFill="1" applyBorder="1"/>
    <xf numFmtId="0" fontId="8" fillId="3" borderId="0" xfId="10" applyFont="1" applyFill="1" applyBorder="1"/>
    <xf numFmtId="187" fontId="8" fillId="3" borderId="0" xfId="10" applyNumberFormat="1" applyFont="1" applyFill="1" applyBorder="1"/>
    <xf numFmtId="0" fontId="8" fillId="3" borderId="0" xfId="10" applyFont="1" applyFill="1"/>
    <xf numFmtId="43" fontId="8" fillId="3" borderId="0" xfId="10" applyNumberFormat="1" applyFont="1" applyFill="1" applyBorder="1"/>
    <xf numFmtId="1" fontId="21" fillId="0" borderId="10" xfId="10" applyNumberFormat="1" applyFont="1" applyFill="1" applyBorder="1" applyAlignment="1">
      <alignment horizontal="center"/>
    </xf>
    <xf numFmtId="0" fontId="21" fillId="0" borderId="4" xfId="10" applyFont="1" applyFill="1" applyBorder="1" applyAlignment="1">
      <alignment shrinkToFit="1"/>
    </xf>
    <xf numFmtId="1" fontId="21" fillId="0" borderId="4" xfId="10" applyNumberFormat="1" applyFont="1" applyFill="1" applyBorder="1" applyAlignment="1">
      <alignment horizontal="center"/>
    </xf>
    <xf numFmtId="187" fontId="21" fillId="0" borderId="4" xfId="8" applyFont="1" applyFill="1" applyBorder="1"/>
    <xf numFmtId="43" fontId="21" fillId="0" borderId="4" xfId="11" applyFont="1" applyFill="1" applyBorder="1" applyAlignment="1">
      <alignment shrinkToFit="1"/>
    </xf>
    <xf numFmtId="187" fontId="21" fillId="3" borderId="10" xfId="8" applyFont="1" applyFill="1" applyBorder="1"/>
    <xf numFmtId="187" fontId="21" fillId="3" borderId="4" xfId="8" applyFont="1" applyFill="1" applyBorder="1"/>
    <xf numFmtId="43" fontId="22" fillId="0" borderId="4" xfId="11" applyFont="1" applyFill="1" applyBorder="1" applyAlignment="1">
      <alignment shrinkToFit="1"/>
    </xf>
    <xf numFmtId="1" fontId="21" fillId="0" borderId="7" xfId="8" applyNumberFormat="1" applyFont="1" applyFill="1" applyBorder="1" applyAlignment="1">
      <alignment horizontal="center"/>
    </xf>
    <xf numFmtId="43" fontId="21" fillId="0" borderId="7" xfId="10" applyNumberFormat="1" applyFont="1" applyFill="1" applyBorder="1"/>
    <xf numFmtId="1" fontId="21" fillId="0" borderId="7" xfId="10" applyNumberFormat="1" applyFont="1" applyFill="1" applyBorder="1" applyAlignment="1">
      <alignment horizontal="center"/>
    </xf>
    <xf numFmtId="0" fontId="21" fillId="0" borderId="0" xfId="10" applyFont="1" applyFill="1"/>
    <xf numFmtId="1" fontId="10" fillId="0" borderId="0" xfId="10" applyNumberFormat="1" applyFont="1" applyFill="1" applyBorder="1" applyAlignment="1"/>
    <xf numFmtId="0" fontId="23" fillId="0" borderId="0" xfId="10" applyFont="1" applyFill="1" applyBorder="1"/>
    <xf numFmtId="43" fontId="23" fillId="0" borderId="0" xfId="10" applyNumberFormat="1" applyFont="1" applyFill="1" applyBorder="1"/>
    <xf numFmtId="1" fontId="10" fillId="3" borderId="0" xfId="10" applyNumberFormat="1" applyFont="1" applyFill="1" applyBorder="1" applyAlignment="1"/>
    <xf numFmtId="1" fontId="10" fillId="3" borderId="1" xfId="10" applyNumberFormat="1" applyFont="1" applyFill="1" applyBorder="1" applyAlignment="1"/>
    <xf numFmtId="43" fontId="10" fillId="3" borderId="1" xfId="11" applyFont="1" applyFill="1" applyBorder="1" applyAlignment="1"/>
    <xf numFmtId="43" fontId="8" fillId="3" borderId="4" xfId="10" applyNumberFormat="1" applyFont="1" applyFill="1" applyBorder="1"/>
    <xf numFmtId="43" fontId="8" fillId="3" borderId="10" xfId="11" applyFont="1" applyFill="1" applyBorder="1" applyAlignment="1">
      <alignment shrinkToFit="1"/>
    </xf>
    <xf numFmtId="43" fontId="8" fillId="3" borderId="4" xfId="11" applyFont="1" applyFill="1" applyBorder="1" applyAlignment="1">
      <alignment shrinkToFit="1"/>
    </xf>
    <xf numFmtId="43" fontId="20" fillId="3" borderId="4" xfId="11" applyFont="1" applyFill="1" applyBorder="1"/>
    <xf numFmtId="43" fontId="20" fillId="3" borderId="4" xfId="0" applyNumberFormat="1" applyFont="1" applyFill="1" applyBorder="1"/>
    <xf numFmtId="0" fontId="20" fillId="3" borderId="4" xfId="0" applyFont="1" applyFill="1" applyBorder="1"/>
    <xf numFmtId="0" fontId="20" fillId="0" borderId="0" xfId="0" applyFont="1" applyFill="1" applyBorder="1" applyAlignment="1">
      <alignment horizontal="left" shrinkToFit="1"/>
    </xf>
    <xf numFmtId="0" fontId="8" fillId="4" borderId="0" xfId="10" applyFont="1" applyFill="1"/>
    <xf numFmtId="187" fontId="10" fillId="0" borderId="10" xfId="8" applyFont="1" applyFill="1" applyBorder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1" fontId="24" fillId="0" borderId="10" xfId="10" applyNumberFormat="1" applyFont="1" applyFill="1" applyBorder="1" applyAlignment="1">
      <alignment horizontal="center"/>
    </xf>
    <xf numFmtId="0" fontId="24" fillId="0" borderId="4" xfId="10" applyFont="1" applyFill="1" applyBorder="1" applyAlignment="1">
      <alignment shrinkToFit="1"/>
    </xf>
    <xf numFmtId="1" fontId="24" fillId="0" borderId="4" xfId="10" applyNumberFormat="1" applyFont="1" applyFill="1" applyBorder="1" applyAlignment="1">
      <alignment horizontal="center"/>
    </xf>
    <xf numFmtId="187" fontId="24" fillId="0" borderId="4" xfId="8" applyFont="1" applyFill="1" applyBorder="1"/>
    <xf numFmtId="43" fontId="24" fillId="3" borderId="4" xfId="11" applyFont="1" applyFill="1" applyBorder="1" applyAlignment="1">
      <alignment shrinkToFit="1"/>
    </xf>
    <xf numFmtId="187" fontId="24" fillId="0" borderId="10" xfId="8" applyFont="1" applyFill="1" applyBorder="1"/>
    <xf numFmtId="43" fontId="25" fillId="3" borderId="4" xfId="11" applyFont="1" applyFill="1" applyBorder="1" applyAlignment="1">
      <alignment shrinkToFit="1"/>
    </xf>
    <xf numFmtId="187" fontId="24" fillId="3" borderId="4" xfId="8" applyFont="1" applyFill="1" applyBorder="1"/>
    <xf numFmtId="1" fontId="24" fillId="0" borderId="7" xfId="8" applyNumberFormat="1" applyFont="1" applyFill="1" applyBorder="1" applyAlignment="1">
      <alignment horizontal="center"/>
    </xf>
    <xf numFmtId="43" fontId="24" fillId="0" borderId="7" xfId="10" applyNumberFormat="1" applyFont="1" applyFill="1" applyBorder="1"/>
    <xf numFmtId="1" fontId="24" fillId="0" borderId="7" xfId="10" applyNumberFormat="1" applyFont="1" applyFill="1" applyBorder="1" applyAlignment="1">
      <alignment horizontal="center"/>
    </xf>
    <xf numFmtId="0" fontId="24" fillId="0" borderId="0" xfId="10" applyFont="1" applyFill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indent="15"/>
    </xf>
    <xf numFmtId="17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Fill="1" applyBorder="1" applyAlignment="1">
      <alignment horizontal="left" shrinkToFit="1"/>
    </xf>
    <xf numFmtId="1" fontId="10" fillId="0" borderId="4" xfId="10" applyNumberFormat="1" applyFont="1" applyFill="1" applyBorder="1" applyAlignment="1">
      <alignment horizontal="center" vertical="center"/>
    </xf>
    <xf numFmtId="187" fontId="10" fillId="0" borderId="4" xfId="8" applyFont="1" applyFill="1" applyBorder="1"/>
    <xf numFmtId="187" fontId="10" fillId="3" borderId="4" xfId="8" applyFont="1" applyFill="1" applyBorder="1"/>
    <xf numFmtId="0" fontId="20" fillId="0" borderId="0" xfId="0" applyFont="1" applyFill="1" applyBorder="1" applyAlignment="1">
      <alignment horizontal="left" shrinkToFit="1"/>
    </xf>
    <xf numFmtId="0" fontId="10" fillId="5" borderId="4" xfId="10" applyFont="1" applyFill="1" applyBorder="1" applyAlignment="1">
      <alignment horizontal="center"/>
    </xf>
    <xf numFmtId="187" fontId="8" fillId="5" borderId="4" xfId="8" applyFont="1" applyFill="1" applyBorder="1"/>
    <xf numFmtId="187" fontId="24" fillId="5" borderId="4" xfId="8" applyFont="1" applyFill="1" applyBorder="1"/>
    <xf numFmtId="187" fontId="10" fillId="5" borderId="4" xfId="8" applyFont="1" applyFill="1" applyBorder="1"/>
    <xf numFmtId="0" fontId="8" fillId="5" borderId="0" xfId="10" applyFont="1" applyFill="1"/>
    <xf numFmtId="43" fontId="10" fillId="0" borderId="1" xfId="11" applyFont="1" applyFill="1" applyBorder="1" applyAlignment="1"/>
    <xf numFmtId="2" fontId="8" fillId="0" borderId="4" xfId="8" applyNumberFormat="1" applyFont="1" applyFill="1" applyBorder="1"/>
    <xf numFmtId="0" fontId="20" fillId="0" borderId="0" xfId="0" applyFont="1" applyFill="1" applyBorder="1" applyAlignment="1">
      <alignment horizontal="left" shrinkToFit="1"/>
    </xf>
    <xf numFmtId="0" fontId="10" fillId="0" borderId="4" xfId="1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Alignment="1">
      <alignment horizontal="left" vertical="center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6" borderId="4" xfId="10" applyFont="1" applyFill="1" applyBorder="1" applyAlignment="1">
      <alignment horizontal="center"/>
    </xf>
    <xf numFmtId="187" fontId="8" fillId="6" borderId="4" xfId="8" applyFont="1" applyFill="1" applyBorder="1"/>
    <xf numFmtId="187" fontId="10" fillId="6" borderId="4" xfId="8" applyFont="1" applyFill="1" applyBorder="1"/>
    <xf numFmtId="0" fontId="23" fillId="6" borderId="0" xfId="10" applyFont="1" applyFill="1" applyBorder="1"/>
    <xf numFmtId="43" fontId="23" fillId="6" borderId="0" xfId="10" applyNumberFormat="1" applyFont="1" applyFill="1" applyBorder="1"/>
    <xf numFmtId="0" fontId="20" fillId="6" borderId="0" xfId="0" applyFont="1" applyFill="1" applyBorder="1" applyAlignment="1">
      <alignment horizontal="left" shrinkToFit="1"/>
    </xf>
    <xf numFmtId="187" fontId="8" fillId="6" borderId="0" xfId="10" applyNumberFormat="1" applyFont="1" applyFill="1" applyBorder="1"/>
    <xf numFmtId="0" fontId="8" fillId="6" borderId="0" xfId="10" applyFont="1" applyFill="1" applyBorder="1"/>
    <xf numFmtId="0" fontId="8" fillId="6" borderId="0" xfId="10" applyFont="1" applyFill="1"/>
    <xf numFmtId="1" fontId="10" fillId="0" borderId="4" xfId="1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shrinkToFit="1"/>
    </xf>
    <xf numFmtId="0" fontId="0" fillId="6" borderId="0" xfId="0" applyFill="1"/>
    <xf numFmtId="1" fontId="8" fillId="6" borderId="4" xfId="10" applyNumberFormat="1" applyFont="1" applyFill="1" applyBorder="1" applyAlignment="1">
      <alignment horizontal="center"/>
    </xf>
    <xf numFmtId="0" fontId="0" fillId="0" borderId="0" xfId="0"/>
    <xf numFmtId="1" fontId="10" fillId="6" borderId="3" xfId="10" applyNumberFormat="1" applyFont="1" applyFill="1" applyBorder="1" applyAlignment="1">
      <alignment horizontal="center" vertical="center"/>
    </xf>
    <xf numFmtId="1" fontId="10" fillId="6" borderId="4" xfId="10" applyNumberFormat="1" applyFont="1" applyFill="1" applyBorder="1" applyAlignment="1">
      <alignment horizontal="center" vertical="center"/>
    </xf>
    <xf numFmtId="0" fontId="26" fillId="6" borderId="4" xfId="10" applyFont="1" applyFill="1" applyBorder="1" applyAlignment="1">
      <alignment horizontal="left" vertical="center" shrinkToFit="1"/>
    </xf>
    <xf numFmtId="0" fontId="26" fillId="6" borderId="4" xfId="10" applyFont="1" applyFill="1" applyBorder="1" applyAlignment="1">
      <alignment shrinkToFit="1"/>
    </xf>
    <xf numFmtId="1" fontId="20" fillId="6" borderId="4" xfId="10" applyNumberFormat="1" applyFont="1" applyFill="1" applyBorder="1" applyAlignment="1">
      <alignment horizontal="center"/>
    </xf>
    <xf numFmtId="187" fontId="20" fillId="6" borderId="4" xfId="8" applyFont="1" applyFill="1" applyBorder="1"/>
    <xf numFmtId="43" fontId="20" fillId="6" borderId="4" xfId="10" applyNumberFormat="1" applyFont="1" applyFill="1" applyBorder="1"/>
    <xf numFmtId="0" fontId="27" fillId="6" borderId="0" xfId="0" applyFont="1" applyFill="1"/>
    <xf numFmtId="43" fontId="20" fillId="6" borderId="0" xfId="0" applyNumberFormat="1" applyFont="1" applyFill="1" applyBorder="1" applyAlignment="1">
      <alignment horizontal="left" shrinkToFit="1"/>
    </xf>
    <xf numFmtId="43" fontId="20" fillId="0" borderId="0" xfId="0" applyNumberFormat="1" applyFont="1" applyFill="1" applyBorder="1" applyAlignment="1">
      <alignment horizontal="left" shrinkToFit="1"/>
    </xf>
    <xf numFmtId="0" fontId="8" fillId="4" borderId="4" xfId="10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7" borderId="4" xfId="10" applyFont="1" applyFill="1" applyBorder="1" applyAlignment="1">
      <alignment horizontal="center"/>
    </xf>
    <xf numFmtId="187" fontId="8" fillId="7" borderId="4" xfId="8" applyFont="1" applyFill="1" applyBorder="1"/>
    <xf numFmtId="187" fontId="20" fillId="7" borderId="4" xfId="8" applyFont="1" applyFill="1" applyBorder="1"/>
    <xf numFmtId="187" fontId="10" fillId="7" borderId="4" xfId="8" applyFont="1" applyFill="1" applyBorder="1"/>
    <xf numFmtId="0" fontId="23" fillId="7" borderId="0" xfId="10" applyFont="1" applyFill="1" applyBorder="1"/>
    <xf numFmtId="43" fontId="23" fillId="7" borderId="0" xfId="10" applyNumberFormat="1" applyFont="1" applyFill="1" applyBorder="1"/>
    <xf numFmtId="0" fontId="20" fillId="7" borderId="0" xfId="0" applyFont="1" applyFill="1" applyBorder="1" applyAlignment="1">
      <alignment horizontal="left" shrinkToFit="1"/>
    </xf>
    <xf numFmtId="187" fontId="8" fillId="7" borderId="0" xfId="10" applyNumberFormat="1" applyFont="1" applyFill="1" applyBorder="1"/>
    <xf numFmtId="0" fontId="8" fillId="7" borderId="0" xfId="10" applyFont="1" applyFill="1" applyBorder="1"/>
    <xf numFmtId="0" fontId="8" fillId="7" borderId="0" xfId="10" applyFont="1" applyFill="1"/>
    <xf numFmtId="0" fontId="20" fillId="0" borderId="0" xfId="0" applyFont="1" applyFill="1" applyBorder="1" applyAlignment="1">
      <alignment horizontal="left" shrinkToFit="1"/>
    </xf>
    <xf numFmtId="0" fontId="8" fillId="0" borderId="4" xfId="21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43" fontId="8" fillId="3" borderId="0" xfId="10" applyNumberFormat="1" applyFont="1" applyFill="1"/>
    <xf numFmtId="1" fontId="8" fillId="0" borderId="4" xfId="10" applyNumberFormat="1" applyFont="1" applyFill="1" applyBorder="1"/>
    <xf numFmtId="0" fontId="8" fillId="0" borderId="4" xfId="10" applyFont="1" applyFill="1" applyBorder="1"/>
    <xf numFmtId="1" fontId="10" fillId="0" borderId="4" xfId="10" applyNumberFormat="1" applyFont="1" applyFill="1" applyBorder="1" applyAlignment="1">
      <alignment horizontal="center" vertical="center"/>
    </xf>
    <xf numFmtId="1" fontId="10" fillId="0" borderId="3" xfId="10" applyNumberFormat="1" applyFont="1" applyFill="1" applyBorder="1" applyAlignment="1">
      <alignment horizontal="center" vertical="center"/>
    </xf>
    <xf numFmtId="3" fontId="20" fillId="0" borderId="13" xfId="24" applyNumberFormat="1" applyFont="1" applyFill="1" applyBorder="1" applyAlignment="1">
      <alignment horizontal="center" vertical="center" shrinkToFit="1"/>
    </xf>
    <xf numFmtId="0" fontId="24" fillId="0" borderId="17" xfId="21" applyFont="1" applyFill="1" applyBorder="1" applyAlignment="1">
      <alignment shrinkToFit="1"/>
    </xf>
    <xf numFmtId="1" fontId="24" fillId="0" borderId="6" xfId="21" applyNumberFormat="1" applyFont="1" applyFill="1" applyBorder="1" applyAlignment="1">
      <alignment horizontal="center"/>
    </xf>
    <xf numFmtId="0" fontId="24" fillId="0" borderId="19" xfId="21" applyFont="1" applyFill="1" applyBorder="1" applyAlignment="1">
      <alignment shrinkToFit="1"/>
    </xf>
    <xf numFmtId="1" fontId="24" fillId="0" borderId="7" xfId="21" applyNumberFormat="1" applyFont="1" applyFill="1" applyBorder="1" applyAlignment="1">
      <alignment horizontal="center"/>
    </xf>
    <xf numFmtId="0" fontId="24" fillId="0" borderId="20" xfId="21" applyFont="1" applyFill="1" applyBorder="1" applyAlignment="1">
      <alignment shrinkToFit="1"/>
    </xf>
    <xf numFmtId="0" fontId="24" fillId="0" borderId="18" xfId="21" applyFont="1" applyFill="1" applyBorder="1" applyAlignment="1">
      <alignment shrinkToFit="1"/>
    </xf>
    <xf numFmtId="0" fontId="24" fillId="0" borderId="21" xfId="21" applyFont="1" applyFill="1" applyBorder="1" applyAlignment="1">
      <alignment shrinkToFit="1"/>
    </xf>
    <xf numFmtId="0" fontId="25" fillId="0" borderId="18" xfId="21" applyFont="1" applyFill="1" applyBorder="1" applyAlignment="1">
      <alignment shrinkToFit="1"/>
    </xf>
    <xf numFmtId="0" fontId="25" fillId="0" borderId="19" xfId="21" applyFont="1" applyFill="1" applyBorder="1" applyAlignment="1">
      <alignment shrinkToFit="1"/>
    </xf>
    <xf numFmtId="0" fontId="24" fillId="0" borderId="20" xfId="21" applyFont="1" applyFill="1" applyBorder="1" applyAlignment="1">
      <alignment vertical="center" shrinkToFit="1"/>
    </xf>
    <xf numFmtId="0" fontId="24" fillId="0" borderId="7" xfId="21" applyFont="1" applyFill="1" applyBorder="1" applyAlignment="1">
      <alignment shrinkToFit="1"/>
    </xf>
    <xf numFmtId="4" fontId="20" fillId="0" borderId="15" xfId="24" applyNumberFormat="1" applyFont="1" applyFill="1" applyBorder="1" applyAlignment="1">
      <alignment vertical="center" shrinkToFit="1"/>
    </xf>
    <xf numFmtId="4" fontId="20" fillId="0" borderId="7" xfId="24" applyNumberFormat="1" applyFont="1" applyFill="1" applyBorder="1" applyAlignment="1">
      <alignment vertical="center" shrinkToFit="1"/>
    </xf>
    <xf numFmtId="0" fontId="0" fillId="0" borderId="0" xfId="0" applyFill="1"/>
    <xf numFmtId="0" fontId="26" fillId="0" borderId="4" xfId="10" applyFont="1" applyFill="1" applyBorder="1" applyAlignment="1">
      <alignment horizontal="left" vertical="center" shrinkToFit="1"/>
    </xf>
    <xf numFmtId="0" fontId="27" fillId="0" borderId="0" xfId="0" applyFont="1" applyFill="1"/>
    <xf numFmtId="0" fontId="25" fillId="0" borderId="0" xfId="0" applyFont="1" applyFill="1" applyBorder="1" applyAlignment="1">
      <alignment horizontal="left" shrinkToFit="1"/>
    </xf>
    <xf numFmtId="43" fontId="25" fillId="0" borderId="0" xfId="0" applyNumberFormat="1" applyFont="1" applyFill="1" applyBorder="1" applyAlignment="1">
      <alignment horizontal="left" shrinkToFit="1"/>
    </xf>
    <xf numFmtId="0" fontId="0" fillId="0" borderId="0" xfId="0" applyFill="1" applyAlignment="1"/>
    <xf numFmtId="43" fontId="20" fillId="0" borderId="7" xfId="23" applyFont="1" applyFill="1" applyBorder="1" applyAlignment="1">
      <alignment shrinkToFit="1"/>
    </xf>
    <xf numFmtId="43" fontId="20" fillId="0" borderId="22" xfId="23" applyFont="1" applyFill="1" applyBorder="1" applyAlignment="1">
      <alignment shrinkToFit="1"/>
    </xf>
    <xf numFmtId="43" fontId="20" fillId="0" borderId="6" xfId="23" applyFont="1" applyFill="1" applyBorder="1" applyAlignment="1">
      <alignment shrinkToFit="1"/>
    </xf>
    <xf numFmtId="43" fontId="20" fillId="0" borderId="12" xfId="23" applyFont="1" applyFill="1" applyBorder="1" applyAlignment="1">
      <alignment shrinkToFit="1"/>
    </xf>
    <xf numFmtId="187" fontId="28" fillId="0" borderId="4" xfId="8" applyFont="1" applyFill="1" applyBorder="1" applyAlignment="1">
      <alignment shrinkToFit="1"/>
    </xf>
    <xf numFmtId="187" fontId="10" fillId="0" borderId="4" xfId="8" applyFont="1" applyFill="1" applyBorder="1" applyAlignment="1">
      <alignment shrinkToFit="1"/>
    </xf>
    <xf numFmtId="1" fontId="25" fillId="0" borderId="7" xfId="21" applyNumberFormat="1" applyFont="1" applyFill="1" applyBorder="1" applyAlignment="1">
      <alignment horizontal="center"/>
    </xf>
    <xf numFmtId="43" fontId="20" fillId="0" borderId="11" xfId="23" applyFont="1" applyFill="1" applyBorder="1" applyAlignment="1">
      <alignment shrinkToFit="1"/>
    </xf>
    <xf numFmtId="43" fontId="20" fillId="0" borderId="8" xfId="23" applyFont="1" applyFill="1" applyBorder="1" applyAlignment="1">
      <alignment shrinkToFit="1"/>
    </xf>
    <xf numFmtId="3" fontId="20" fillId="0" borderId="7" xfId="24" applyNumberFormat="1" applyFont="1" applyFill="1" applyBorder="1" applyAlignment="1">
      <alignment horizontal="center" vertical="center" shrinkToFit="1"/>
    </xf>
    <xf numFmtId="1" fontId="24" fillId="0" borderId="12" xfId="21" applyNumberFormat="1" applyFont="1" applyFill="1" applyBorder="1" applyAlignment="1">
      <alignment horizontal="center"/>
    </xf>
    <xf numFmtId="0" fontId="24" fillId="0" borderId="12" xfId="21" applyFont="1" applyFill="1" applyBorder="1" applyAlignment="1">
      <alignment shrinkToFit="1"/>
    </xf>
    <xf numFmtId="0" fontId="28" fillId="0" borderId="4" xfId="10" applyFont="1" applyFill="1" applyBorder="1" applyAlignment="1">
      <alignment horizontal="center" shrinkToFit="1"/>
    </xf>
    <xf numFmtId="187" fontId="24" fillId="0" borderId="10" xfId="8" applyFont="1" applyFill="1" applyBorder="1" applyAlignment="1">
      <alignment shrinkToFit="1"/>
    </xf>
    <xf numFmtId="187" fontId="24" fillId="0" borderId="6" xfId="8" applyFont="1" applyFill="1" applyBorder="1" applyAlignment="1">
      <alignment shrinkToFit="1"/>
    </xf>
    <xf numFmtId="187" fontId="24" fillId="0" borderId="22" xfId="8" applyFont="1" applyFill="1" applyBorder="1" applyAlignment="1">
      <alignment shrinkToFit="1"/>
    </xf>
    <xf numFmtId="187" fontId="24" fillId="0" borderId="12" xfId="8" applyFont="1" applyFill="1" applyBorder="1" applyAlignment="1">
      <alignment shrinkToFit="1"/>
    </xf>
    <xf numFmtId="187" fontId="24" fillId="0" borderId="7" xfId="8" applyFont="1" applyFill="1" applyBorder="1" applyAlignment="1">
      <alignment shrinkToFit="1"/>
    </xf>
    <xf numFmtId="187" fontId="24" fillId="0" borderId="11" xfId="8" applyFont="1" applyFill="1" applyBorder="1" applyAlignment="1">
      <alignment shrinkToFit="1"/>
    </xf>
    <xf numFmtId="43" fontId="24" fillId="0" borderId="11" xfId="10" applyNumberFormat="1" applyFont="1" applyFill="1" applyBorder="1" applyAlignment="1">
      <alignment shrinkToFit="1"/>
    </xf>
    <xf numFmtId="43" fontId="24" fillId="0" borderId="7" xfId="10" applyNumberFormat="1" applyFont="1" applyFill="1" applyBorder="1" applyAlignment="1">
      <alignment shrinkToFit="1"/>
    </xf>
    <xf numFmtId="187" fontId="25" fillId="0" borderId="7" xfId="8" applyFont="1" applyFill="1" applyBorder="1" applyAlignment="1">
      <alignment shrinkToFit="1"/>
    </xf>
    <xf numFmtId="43" fontId="25" fillId="0" borderId="7" xfId="10" applyNumberFormat="1" applyFont="1" applyFill="1" applyBorder="1" applyAlignment="1">
      <alignment shrinkToFit="1"/>
    </xf>
    <xf numFmtId="187" fontId="25" fillId="0" borderId="22" xfId="8" applyFont="1" applyFill="1" applyBorder="1" applyAlignment="1">
      <alignment shrinkToFit="1"/>
    </xf>
    <xf numFmtId="43" fontId="25" fillId="0" borderId="11" xfId="10" applyNumberFormat="1" applyFont="1" applyFill="1" applyBorder="1" applyAlignment="1">
      <alignment shrinkToFit="1"/>
    </xf>
    <xf numFmtId="187" fontId="24" fillId="0" borderId="3" xfId="8" applyFont="1" applyFill="1" applyBorder="1" applyAlignment="1">
      <alignment shrinkToFit="1"/>
    </xf>
    <xf numFmtId="187" fontId="8" fillId="0" borderId="3" xfId="8" applyFont="1" applyFill="1" applyBorder="1" applyAlignment="1">
      <alignment shrinkToFit="1"/>
    </xf>
    <xf numFmtId="0" fontId="23" fillId="0" borderId="4" xfId="10" applyFont="1" applyFill="1" applyBorder="1" applyAlignment="1">
      <alignment shrinkToFit="1"/>
    </xf>
    <xf numFmtId="43" fontId="23" fillId="0" borderId="4" xfId="10" applyNumberFormat="1" applyFont="1" applyFill="1" applyBorder="1" applyAlignment="1">
      <alignment shrinkToFit="1"/>
    </xf>
    <xf numFmtId="0" fontId="24" fillId="0" borderId="0" xfId="10" applyFont="1" applyFill="1" applyAlignment="1">
      <alignment shrinkToFit="1"/>
    </xf>
    <xf numFmtId="0" fontId="24" fillId="0" borderId="0" xfId="10" applyFont="1" applyFill="1" applyBorder="1" applyAlignment="1">
      <alignment shrinkToFit="1"/>
    </xf>
    <xf numFmtId="43" fontId="0" fillId="0" borderId="0" xfId="11" applyFont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43" fontId="20" fillId="0" borderId="10" xfId="23" applyFont="1" applyFill="1" applyBorder="1" applyAlignment="1">
      <alignment shrinkToFit="1"/>
    </xf>
    <xf numFmtId="0" fontId="10" fillId="0" borderId="10" xfId="1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187" fontId="24" fillId="0" borderId="20" xfId="8" applyFont="1" applyFill="1" applyBorder="1" applyAlignment="1">
      <alignment shrinkToFit="1"/>
    </xf>
    <xf numFmtId="187" fontId="24" fillId="0" borderId="18" xfId="8" applyFont="1" applyFill="1" applyBorder="1" applyAlignment="1">
      <alignment shrinkToFit="1"/>
    </xf>
    <xf numFmtId="187" fontId="24" fillId="0" borderId="23" xfId="8" applyFont="1" applyFill="1" applyBorder="1" applyAlignment="1">
      <alignment shrinkToFit="1"/>
    </xf>
    <xf numFmtId="187" fontId="25" fillId="0" borderId="12" xfId="8" applyFont="1" applyFill="1" applyBorder="1" applyAlignment="1">
      <alignment shrinkToFit="1"/>
    </xf>
    <xf numFmtId="187" fontId="25" fillId="0" borderId="11" xfId="8" applyFont="1" applyFill="1" applyBorder="1" applyAlignment="1">
      <alignment shrinkToFit="1"/>
    </xf>
    <xf numFmtId="187" fontId="24" fillId="0" borderId="8" xfId="8" applyFont="1" applyFill="1" applyBorder="1" applyAlignment="1">
      <alignment shrinkToFit="1"/>
    </xf>
    <xf numFmtId="43" fontId="24" fillId="0" borderId="4" xfId="10" applyNumberFormat="1" applyFont="1" applyFill="1" applyBorder="1" applyAlignment="1">
      <alignment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10" fillId="0" borderId="0" xfId="10" applyFont="1" applyFill="1" applyBorder="1" applyAlignment="1">
      <alignment horizontal="center" vertical="center" shrinkToFit="1"/>
    </xf>
    <xf numFmtId="0" fontId="10" fillId="0" borderId="0" xfId="10" applyFont="1" applyFill="1" applyBorder="1" applyAlignment="1">
      <alignment horizontal="center" shrinkToFit="1"/>
    </xf>
    <xf numFmtId="43" fontId="20" fillId="0" borderId="0" xfId="23" applyFont="1" applyFill="1" applyBorder="1" applyAlignment="1">
      <alignment shrinkToFit="1"/>
    </xf>
    <xf numFmtId="187" fontId="8" fillId="0" borderId="0" xfId="8" applyFont="1" applyFill="1" applyBorder="1" applyAlignment="1">
      <alignment shrinkToFit="1"/>
    </xf>
    <xf numFmtId="187" fontId="10" fillId="0" borderId="0" xfId="8" applyFont="1" applyFill="1" applyBorder="1" applyAlignment="1">
      <alignment shrinkToFit="1"/>
    </xf>
    <xf numFmtId="43" fontId="23" fillId="0" borderId="0" xfId="10" applyNumberFormat="1" applyFont="1" applyFill="1" applyBorder="1" applyAlignment="1">
      <alignment shrinkToFit="1"/>
    </xf>
    <xf numFmtId="1" fontId="26" fillId="0" borderId="0" xfId="10" applyNumberFormat="1" applyFont="1" applyFill="1" applyBorder="1" applyAlignment="1"/>
    <xf numFmtId="1" fontId="29" fillId="0" borderId="0" xfId="10" applyNumberFormat="1" applyFont="1" applyFill="1" applyBorder="1" applyAlignment="1">
      <alignment shrinkToFit="1"/>
    </xf>
    <xf numFmtId="1" fontId="26" fillId="0" borderId="0" xfId="10" applyNumberFormat="1" applyFont="1" applyFill="1" applyBorder="1" applyAlignment="1">
      <alignment shrinkToFit="1"/>
    </xf>
    <xf numFmtId="1" fontId="26" fillId="0" borderId="1" xfId="10" applyNumberFormat="1" applyFont="1" applyFill="1" applyBorder="1" applyAlignment="1"/>
    <xf numFmtId="1" fontId="26" fillId="0" borderId="1" xfId="10" applyNumberFormat="1" applyFont="1" applyFill="1" applyBorder="1" applyAlignment="1">
      <alignment vertical="center"/>
    </xf>
    <xf numFmtId="1" fontId="26" fillId="0" borderId="0" xfId="10" applyNumberFormat="1" applyFont="1" applyFill="1" applyBorder="1" applyAlignment="1">
      <alignment vertical="center" shrinkToFit="1"/>
    </xf>
    <xf numFmtId="1" fontId="28" fillId="0" borderId="0" xfId="10" applyNumberFormat="1" applyFont="1" applyFill="1" applyBorder="1" applyAlignment="1">
      <alignment horizontal="left" shrinkToFit="1"/>
    </xf>
    <xf numFmtId="1" fontId="10" fillId="0" borderId="0" xfId="10" applyNumberFormat="1" applyFont="1" applyFill="1" applyBorder="1" applyAlignment="1">
      <alignment horizontal="left" shrinkToFit="1"/>
    </xf>
    <xf numFmtId="0" fontId="0" fillId="0" borderId="0" xfId="0" applyFill="1" applyAlignment="1">
      <alignment horizontal="left"/>
    </xf>
    <xf numFmtId="1" fontId="24" fillId="0" borderId="7" xfId="21" applyNumberFormat="1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left" shrinkToFit="1"/>
    </xf>
    <xf numFmtId="43" fontId="0" fillId="0" borderId="0" xfId="0" applyNumberFormat="1" applyFill="1"/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left" shrinkToFit="1"/>
    </xf>
    <xf numFmtId="0" fontId="30" fillId="0" borderId="11" xfId="21" applyFont="1" applyBorder="1" applyAlignment="1">
      <alignment shrinkToFit="1"/>
    </xf>
    <xf numFmtId="0" fontId="30" fillId="0" borderId="22" xfId="21" applyFont="1" applyBorder="1" applyAlignment="1">
      <alignment shrinkToFit="1"/>
    </xf>
    <xf numFmtId="1" fontId="29" fillId="0" borderId="1" xfId="10" applyNumberFormat="1" applyFont="1" applyFill="1" applyBorder="1" applyAlignment="1">
      <alignment vertical="center"/>
    </xf>
    <xf numFmtId="0" fontId="18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15" fontId="10" fillId="0" borderId="4" xfId="10" applyNumberFormat="1" applyFont="1" applyFill="1" applyBorder="1" applyAlignment="1">
      <alignment horizontal="center" vertical="center"/>
    </xf>
    <xf numFmtId="0" fontId="10" fillId="0" borderId="4" xfId="10" applyFont="1" applyFill="1" applyBorder="1" applyAlignment="1">
      <alignment horizontal="center" vertical="center"/>
    </xf>
    <xf numFmtId="1" fontId="10" fillId="0" borderId="0" xfId="10" applyNumberFormat="1" applyFont="1" applyFill="1" applyBorder="1" applyAlignment="1">
      <alignment horizontal="center"/>
    </xf>
    <xf numFmtId="1" fontId="10" fillId="0" borderId="1" xfId="10" applyNumberFormat="1" applyFont="1" applyFill="1" applyBorder="1" applyAlignment="1">
      <alignment horizontal="center"/>
    </xf>
    <xf numFmtId="1" fontId="10" fillId="0" borderId="4" xfId="10" applyNumberFormat="1" applyFont="1" applyFill="1" applyBorder="1" applyAlignment="1">
      <alignment horizontal="center" vertical="center"/>
    </xf>
    <xf numFmtId="1" fontId="10" fillId="0" borderId="10" xfId="10" applyNumberFormat="1" applyFont="1" applyFill="1" applyBorder="1" applyAlignment="1">
      <alignment horizontal="center" vertical="center"/>
    </xf>
    <xf numFmtId="0" fontId="15" fillId="0" borderId="10" xfId="1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0" fillId="3" borderId="4" xfId="1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shrinkToFit="1"/>
    </xf>
    <xf numFmtId="0" fontId="10" fillId="0" borderId="4" xfId="10" applyFont="1" applyFill="1" applyBorder="1" applyAlignment="1">
      <alignment horizontal="center" vertical="center" shrinkToFit="1"/>
    </xf>
    <xf numFmtId="15" fontId="10" fillId="3" borderId="4" xfId="10" applyNumberFormat="1" applyFont="1" applyFill="1" applyBorder="1" applyAlignment="1">
      <alignment horizontal="center" vertical="center"/>
    </xf>
    <xf numFmtId="0" fontId="10" fillId="0" borderId="13" xfId="10" applyFont="1" applyFill="1" applyBorder="1" applyAlignment="1">
      <alignment horizontal="center" vertical="center"/>
    </xf>
    <xf numFmtId="0" fontId="10" fillId="0" borderId="14" xfId="10" applyFont="1" applyFill="1" applyBorder="1" applyAlignment="1">
      <alignment horizontal="center" vertical="center"/>
    </xf>
    <xf numFmtId="0" fontId="10" fillId="0" borderId="15" xfId="10" applyFont="1" applyFill="1" applyBorder="1" applyAlignment="1">
      <alignment horizontal="center" vertical="center"/>
    </xf>
    <xf numFmtId="0" fontId="10" fillId="0" borderId="16" xfId="10" applyFont="1" applyFill="1" applyBorder="1" applyAlignment="1">
      <alignment horizontal="center" vertical="center"/>
    </xf>
    <xf numFmtId="0" fontId="10" fillId="5" borderId="4" xfId="10" applyFont="1" applyFill="1" applyBorder="1" applyAlignment="1">
      <alignment horizontal="center" vertical="center" wrapText="1"/>
    </xf>
    <xf numFmtId="1" fontId="10" fillId="0" borderId="11" xfId="10" applyNumberFormat="1" applyFont="1" applyFill="1" applyBorder="1" applyAlignment="1">
      <alignment horizontal="center" vertical="center"/>
    </xf>
    <xf numFmtId="1" fontId="10" fillId="0" borderId="3" xfId="10" applyNumberFormat="1" applyFont="1" applyFill="1" applyBorder="1" applyAlignment="1">
      <alignment horizontal="center" vertical="center"/>
    </xf>
    <xf numFmtId="0" fontId="10" fillId="6" borderId="13" xfId="10" applyFont="1" applyFill="1" applyBorder="1" applyAlignment="1">
      <alignment horizontal="center" vertical="center" wrapText="1"/>
    </xf>
    <xf numFmtId="0" fontId="10" fillId="6" borderId="14" xfId="10" applyFont="1" applyFill="1" applyBorder="1" applyAlignment="1">
      <alignment horizontal="center" vertical="center" wrapText="1"/>
    </xf>
    <xf numFmtId="49" fontId="10" fillId="6" borderId="15" xfId="10" applyNumberFormat="1" applyFont="1" applyFill="1" applyBorder="1" applyAlignment="1">
      <alignment horizontal="center" vertical="center" wrapText="1"/>
    </xf>
    <xf numFmtId="49" fontId="10" fillId="6" borderId="16" xfId="10" applyNumberFormat="1" applyFont="1" applyFill="1" applyBorder="1" applyAlignment="1">
      <alignment horizontal="center" vertical="center" wrapText="1"/>
    </xf>
    <xf numFmtId="0" fontId="10" fillId="7" borderId="13" xfId="10" applyFont="1" applyFill="1" applyBorder="1" applyAlignment="1">
      <alignment horizontal="center" vertical="center" wrapText="1"/>
    </xf>
    <xf numFmtId="0" fontId="10" fillId="7" borderId="14" xfId="10" applyFont="1" applyFill="1" applyBorder="1" applyAlignment="1">
      <alignment horizontal="center" vertical="center" wrapText="1"/>
    </xf>
    <xf numFmtId="0" fontId="10" fillId="7" borderId="15" xfId="10" applyFont="1" applyFill="1" applyBorder="1" applyAlignment="1">
      <alignment horizontal="center" vertical="center" wrapText="1"/>
    </xf>
    <xf numFmtId="0" fontId="10" fillId="7" borderId="16" xfId="10" applyFont="1" applyFill="1" applyBorder="1" applyAlignment="1">
      <alignment horizontal="center" vertical="center" wrapText="1"/>
    </xf>
    <xf numFmtId="0" fontId="10" fillId="5" borderId="13" xfId="10" applyFont="1" applyFill="1" applyBorder="1" applyAlignment="1">
      <alignment horizontal="center" vertical="center" wrapText="1"/>
    </xf>
    <xf numFmtId="0" fontId="10" fillId="5" borderId="14" xfId="10" applyFont="1" applyFill="1" applyBorder="1" applyAlignment="1">
      <alignment horizontal="center" vertical="center" wrapText="1"/>
    </xf>
    <xf numFmtId="0" fontId="10" fillId="5" borderId="15" xfId="10" applyFont="1" applyFill="1" applyBorder="1" applyAlignment="1">
      <alignment horizontal="center" vertical="center" wrapText="1"/>
    </xf>
    <xf numFmtId="0" fontId="10" fillId="5" borderId="16" xfId="10" applyFont="1" applyFill="1" applyBorder="1" applyAlignment="1">
      <alignment horizontal="center" vertical="center" wrapText="1"/>
    </xf>
    <xf numFmtId="15" fontId="28" fillId="0" borderId="4" xfId="10" applyNumberFormat="1" applyFont="1" applyFill="1" applyBorder="1" applyAlignment="1">
      <alignment horizontal="center" vertical="center" shrinkToFit="1"/>
    </xf>
    <xf numFmtId="0" fontId="28" fillId="0" borderId="4" xfId="10" applyFont="1" applyFill="1" applyBorder="1" applyAlignment="1">
      <alignment horizontal="center" vertical="center" shrinkToFit="1"/>
    </xf>
    <xf numFmtId="0" fontId="10" fillId="0" borderId="13" xfId="10" applyFont="1" applyFill="1" applyBorder="1" applyAlignment="1">
      <alignment horizontal="center" vertical="center" shrinkToFit="1"/>
    </xf>
    <xf numFmtId="0" fontId="10" fillId="0" borderId="14" xfId="10" applyFont="1" applyFill="1" applyBorder="1" applyAlignment="1">
      <alignment horizontal="center" vertical="center" shrinkToFit="1"/>
    </xf>
    <xf numFmtId="0" fontId="10" fillId="0" borderId="15" xfId="10" applyFont="1" applyFill="1" applyBorder="1" applyAlignment="1">
      <alignment horizontal="center" vertical="center" shrinkToFit="1"/>
    </xf>
    <xf numFmtId="0" fontId="10" fillId="0" borderId="16" xfId="10" applyFont="1" applyFill="1" applyBorder="1" applyAlignment="1">
      <alignment horizontal="center" vertical="center" shrinkToFit="1"/>
    </xf>
    <xf numFmtId="0" fontId="28" fillId="0" borderId="13" xfId="10" applyFont="1" applyFill="1" applyBorder="1" applyAlignment="1">
      <alignment horizontal="center" vertical="center" shrinkToFit="1"/>
    </xf>
    <xf numFmtId="0" fontId="28" fillId="0" borderId="14" xfId="10" applyFont="1" applyFill="1" applyBorder="1" applyAlignment="1">
      <alignment horizontal="center" vertical="center" shrinkToFit="1"/>
    </xf>
    <xf numFmtId="15" fontId="28" fillId="0" borderId="15" xfId="10" applyNumberFormat="1" applyFont="1" applyFill="1" applyBorder="1" applyAlignment="1">
      <alignment horizontal="center" vertical="center" shrinkToFit="1"/>
    </xf>
    <xf numFmtId="15" fontId="28" fillId="0" borderId="16" xfId="10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/>
    </xf>
    <xf numFmtId="43" fontId="24" fillId="0" borderId="7" xfId="21" applyNumberFormat="1" applyFont="1" applyFill="1" applyBorder="1" applyAlignment="1">
      <alignment shrinkToFit="1"/>
    </xf>
    <xf numFmtId="43" fontId="24" fillId="0" borderId="11" xfId="21" applyNumberFormat="1" applyFont="1" applyFill="1" applyBorder="1" applyAlignment="1">
      <alignment shrinkToFit="1"/>
    </xf>
    <xf numFmtId="43" fontId="25" fillId="0" borderId="7" xfId="21" applyNumberFormat="1" applyFont="1" applyFill="1" applyBorder="1" applyAlignment="1">
      <alignment shrinkToFit="1"/>
    </xf>
    <xf numFmtId="43" fontId="25" fillId="0" borderId="11" xfId="21" applyNumberFormat="1" applyFont="1" applyFill="1" applyBorder="1" applyAlignment="1">
      <alignment shrinkToFit="1"/>
    </xf>
  </cellXfs>
  <cellStyles count="25">
    <cellStyle name="Comma 2" xfId="1"/>
    <cellStyle name="Comma 2 2" xfId="2"/>
    <cellStyle name="Comma 2 2 2" xfId="14"/>
    <cellStyle name="Comma 2 3" xfId="13"/>
    <cellStyle name="Comma 3" xfId="3"/>
    <cellStyle name="Comma 3 2" xfId="15"/>
    <cellStyle name="Normal 2" xfId="4"/>
    <cellStyle name="Normal 3" xfId="5"/>
    <cellStyle name="Normal 3 2" xfId="16"/>
    <cellStyle name="เครื่องหมายจุลภาค" xfId="11" builtinId="3"/>
    <cellStyle name="เครื่องหมายจุลภาค 2" xfId="6"/>
    <cellStyle name="เครื่องหมายจุลภาค 2 2" xfId="23"/>
    <cellStyle name="เครื่องหมายจุลภาค 2 3" xfId="17"/>
    <cellStyle name="เครื่องหมายจุลภาค 3" xfId="7"/>
    <cellStyle name="เครื่องหมายจุลภาค 3 2" xfId="18"/>
    <cellStyle name="เครื่องหมายจุลภาค 4" xfId="8"/>
    <cellStyle name="เครื่องหมายจุลภาค 4 2" xfId="19"/>
    <cellStyle name="เครื่องหมายจุลภาค 5" xfId="12"/>
    <cellStyle name="ปกติ" xfId="0" builtinId="0"/>
    <cellStyle name="ปกติ 2" xfId="9"/>
    <cellStyle name="ปกติ 2 2" xfId="22"/>
    <cellStyle name="ปกติ 2 3" xfId="20"/>
    <cellStyle name="ปกติ 3" xfId="10"/>
    <cellStyle name="ปกติ 3 2" xfId="21"/>
    <cellStyle name="ปกติ_Sheet1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view="pageBreakPreview" zoomScale="110" zoomScaleNormal="100" zoomScaleSheetLayoutView="110" workbookViewId="0">
      <selection activeCell="BY10" sqref="BY10"/>
    </sheetView>
  </sheetViews>
  <sheetFormatPr defaultRowHeight="23.25" x14ac:dyDescent="0.5"/>
  <cols>
    <col min="1" max="1" width="5.5703125" style="52" customWidth="1"/>
    <col min="2" max="2" width="3.42578125" style="53" customWidth="1"/>
    <col min="3" max="3" width="6.28515625" style="52" customWidth="1"/>
    <col min="4" max="4" width="9.140625" style="52"/>
    <col min="5" max="6" width="3.28515625" style="52" customWidth="1"/>
    <col min="7" max="16384" width="9.140625" style="52"/>
  </cols>
  <sheetData>
    <row r="1" spans="1:12" x14ac:dyDescent="0.5">
      <c r="A1" s="310" t="s">
        <v>109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2" x14ac:dyDescent="0.5">
      <c r="A2" s="311" t="s">
        <v>110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</row>
    <row r="3" spans="1:12" x14ac:dyDescent="0.5">
      <c r="A3" s="311" t="s">
        <v>118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</row>
    <row r="4" spans="1:12" x14ac:dyDescent="0.5">
      <c r="A4" s="312" t="s">
        <v>111</v>
      </c>
      <c r="B4" s="312"/>
      <c r="C4" s="312"/>
      <c r="D4" s="312"/>
      <c r="G4" s="52" t="s">
        <v>113</v>
      </c>
    </row>
    <row r="5" spans="1:12" x14ac:dyDescent="0.5">
      <c r="B5" s="52" t="s">
        <v>112</v>
      </c>
    </row>
    <row r="6" spans="1:12" x14ac:dyDescent="0.5">
      <c r="B6" s="56"/>
      <c r="C6" s="53"/>
      <c r="H6" s="53" t="s">
        <v>114</v>
      </c>
    </row>
    <row r="7" spans="1:12" x14ac:dyDescent="0.5">
      <c r="B7" s="53">
        <v>1</v>
      </c>
      <c r="C7" s="52" t="s">
        <v>20</v>
      </c>
      <c r="G7" s="52" t="s">
        <v>115</v>
      </c>
    </row>
    <row r="8" spans="1:12" x14ac:dyDescent="0.5">
      <c r="C8" s="52" t="s">
        <v>79</v>
      </c>
      <c r="G8" s="52" t="s">
        <v>115</v>
      </c>
    </row>
    <row r="9" spans="1:12" x14ac:dyDescent="0.5">
      <c r="B9" s="53">
        <v>2</v>
      </c>
      <c r="C9" s="52" t="s">
        <v>58</v>
      </c>
      <c r="G9" s="52" t="s">
        <v>115</v>
      </c>
    </row>
    <row r="10" spans="1:12" x14ac:dyDescent="0.5">
      <c r="B10" s="53">
        <v>3</v>
      </c>
      <c r="C10" s="52" t="s">
        <v>65</v>
      </c>
      <c r="G10" s="52" t="s">
        <v>115</v>
      </c>
    </row>
    <row r="12" spans="1:12" x14ac:dyDescent="0.5">
      <c r="G12" s="310" t="s">
        <v>116</v>
      </c>
      <c r="H12" s="310"/>
      <c r="I12" s="310"/>
      <c r="J12" s="310"/>
    </row>
    <row r="14" spans="1:12" x14ac:dyDescent="0.5">
      <c r="G14" s="310" t="s">
        <v>117</v>
      </c>
      <c r="H14" s="310"/>
      <c r="I14" s="310"/>
      <c r="J14" s="310"/>
    </row>
    <row r="15" spans="1:12" x14ac:dyDescent="0.5">
      <c r="A15" s="55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1:12" x14ac:dyDescent="0.5">
      <c r="A16" s="309" t="s">
        <v>109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09"/>
    </row>
    <row r="17" spans="1:10" ht="16.5" customHeight="1" x14ac:dyDescent="0.5"/>
    <row r="18" spans="1:10" x14ac:dyDescent="0.5">
      <c r="A18" s="52" t="s">
        <v>119</v>
      </c>
      <c r="B18" s="56" t="s">
        <v>120</v>
      </c>
    </row>
    <row r="19" spans="1:10" x14ac:dyDescent="0.5">
      <c r="A19" s="52" t="s">
        <v>121</v>
      </c>
    </row>
    <row r="20" spans="1:10" x14ac:dyDescent="0.5">
      <c r="A20" s="52" t="s">
        <v>122</v>
      </c>
    </row>
    <row r="21" spans="1:10" x14ac:dyDescent="0.5">
      <c r="A21" s="52" t="s">
        <v>123</v>
      </c>
    </row>
    <row r="22" spans="1:10" x14ac:dyDescent="0.5">
      <c r="C22" s="52" t="s">
        <v>124</v>
      </c>
    </row>
    <row r="23" spans="1:10" x14ac:dyDescent="0.5">
      <c r="A23" s="52" t="s">
        <v>125</v>
      </c>
    </row>
    <row r="24" spans="1:10" x14ac:dyDescent="0.5">
      <c r="A24" s="56"/>
      <c r="B24" s="56" t="s">
        <v>126</v>
      </c>
    </row>
    <row r="25" spans="1:10" x14ac:dyDescent="0.5">
      <c r="B25" s="53">
        <v>1</v>
      </c>
      <c r="C25" s="52" t="s">
        <v>20</v>
      </c>
      <c r="G25" s="52" t="s">
        <v>115</v>
      </c>
    </row>
    <row r="26" spans="1:10" x14ac:dyDescent="0.5">
      <c r="C26" s="52" t="s">
        <v>79</v>
      </c>
      <c r="G26" s="52" t="s">
        <v>115</v>
      </c>
    </row>
    <row r="27" spans="1:10" x14ac:dyDescent="0.5">
      <c r="B27" s="53">
        <v>2</v>
      </c>
      <c r="C27" s="52" t="s">
        <v>58</v>
      </c>
      <c r="G27" s="52" t="s">
        <v>115</v>
      </c>
    </row>
    <row r="28" spans="1:10" x14ac:dyDescent="0.5">
      <c r="B28" s="53">
        <v>3</v>
      </c>
      <c r="C28" s="52" t="s">
        <v>65</v>
      </c>
      <c r="G28" s="52" t="s">
        <v>115</v>
      </c>
    </row>
    <row r="30" spans="1:10" x14ac:dyDescent="0.5">
      <c r="G30" s="310" t="s">
        <v>116</v>
      </c>
      <c r="H30" s="310"/>
      <c r="I30" s="310"/>
      <c r="J30" s="310"/>
    </row>
    <row r="32" spans="1:10" x14ac:dyDescent="0.5">
      <c r="G32" s="310" t="s">
        <v>127</v>
      </c>
      <c r="H32" s="310"/>
      <c r="I32" s="310"/>
      <c r="J32" s="310"/>
    </row>
  </sheetData>
  <mergeCells count="9">
    <mergeCell ref="A16:K16"/>
    <mergeCell ref="G30:J30"/>
    <mergeCell ref="G32:J32"/>
    <mergeCell ref="A1:K1"/>
    <mergeCell ref="A2:K2"/>
    <mergeCell ref="A3:K3"/>
    <mergeCell ref="G12:J12"/>
    <mergeCell ref="G14:J14"/>
    <mergeCell ref="A4:D4"/>
  </mergeCells>
  <pageMargins left="0.70866141732283472" right="0.70866141732283472" top="0.55118110236220474" bottom="0.55118110236220474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R157"/>
  <sheetViews>
    <sheetView view="pageBreakPreview" topLeftCell="A4" zoomScale="110" zoomScaleNormal="100" zoomScaleSheetLayoutView="110" workbookViewId="0">
      <pane xSplit="3" ySplit="6" topLeftCell="D55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2" customWidth="1"/>
    <col min="3" max="3" width="7.140625" style="2" bestFit="1" customWidth="1"/>
    <col min="4" max="5" width="13.7109375" style="2" customWidth="1"/>
    <col min="6" max="53" width="13.7109375" style="2" hidden="1" customWidth="1"/>
    <col min="54" max="57" width="13.7109375" style="2" customWidth="1"/>
    <col min="58" max="58" width="3.28515625" style="3" customWidth="1"/>
    <col min="59" max="59" width="12.42578125" style="2" customWidth="1"/>
    <col min="60" max="60" width="3.7109375" style="3" customWidth="1"/>
    <col min="61" max="61" width="12.5703125" style="2" customWidth="1"/>
    <col min="62" max="87" width="13.7109375" style="2" customWidth="1"/>
    <col min="88" max="16384" width="38.42578125" style="2"/>
  </cols>
  <sheetData>
    <row r="1" spans="1:69" hidden="1" x14ac:dyDescent="0.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69" hidden="1" x14ac:dyDescent="0.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69" hidden="1" x14ac:dyDescent="0.5">
      <c r="A3" s="4" t="s">
        <v>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69" x14ac:dyDescent="0.5">
      <c r="A4" s="315" t="s">
        <v>26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5"/>
      <c r="AH4" s="315"/>
      <c r="AI4" s="315"/>
      <c r="AJ4" s="315"/>
      <c r="AK4" s="315"/>
      <c r="AL4" s="315"/>
      <c r="AM4" s="315"/>
      <c r="AN4" s="315"/>
      <c r="AO4" s="315"/>
      <c r="AP4" s="315"/>
      <c r="AQ4" s="315"/>
      <c r="AR4" s="315"/>
      <c r="AS4" s="315"/>
      <c r="AT4" s="315"/>
      <c r="AU4" s="315"/>
      <c r="AV4" s="315"/>
      <c r="AW4" s="315"/>
      <c r="AX4" s="315"/>
      <c r="AY4" s="315"/>
      <c r="AZ4" s="315"/>
      <c r="BA4" s="315"/>
      <c r="BB4" s="315"/>
      <c r="BC4" s="315"/>
      <c r="BD4" s="315"/>
      <c r="BE4" s="315"/>
    </row>
    <row r="5" spans="1:69" x14ac:dyDescent="0.5">
      <c r="A5" s="315" t="s">
        <v>78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P5" s="315"/>
      <c r="AQ5" s="315"/>
      <c r="AR5" s="315"/>
      <c r="AS5" s="315"/>
      <c r="AT5" s="315"/>
      <c r="AU5" s="315"/>
      <c r="AV5" s="315"/>
      <c r="AW5" s="315"/>
      <c r="AX5" s="315"/>
      <c r="AY5" s="315"/>
      <c r="AZ5" s="315"/>
      <c r="BA5" s="315"/>
      <c r="BB5" s="315"/>
      <c r="BC5" s="315"/>
      <c r="BD5" s="315"/>
      <c r="BE5" s="315"/>
    </row>
    <row r="6" spans="1:69" x14ac:dyDescent="0.5">
      <c r="A6" s="316" t="s">
        <v>80</v>
      </c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316"/>
      <c r="AQ6" s="316"/>
      <c r="AR6" s="316"/>
      <c r="AS6" s="316"/>
      <c r="AT6" s="316"/>
      <c r="AU6" s="316"/>
      <c r="AV6" s="316"/>
      <c r="AW6" s="316"/>
      <c r="AX6" s="316"/>
      <c r="AY6" s="316"/>
      <c r="AZ6" s="316"/>
      <c r="BA6" s="316"/>
      <c r="BB6" s="316"/>
      <c r="BC6" s="316"/>
      <c r="BD6" s="316"/>
      <c r="BE6" s="316"/>
    </row>
    <row r="7" spans="1:69" s="57" customFormat="1" x14ac:dyDescent="0.5">
      <c r="A7" s="317" t="s">
        <v>95</v>
      </c>
      <c r="B7" s="314" t="s">
        <v>29</v>
      </c>
      <c r="C7" s="319" t="s">
        <v>81</v>
      </c>
      <c r="D7" s="314" t="s">
        <v>30</v>
      </c>
      <c r="E7" s="314"/>
      <c r="F7" s="313">
        <v>20606</v>
      </c>
      <c r="G7" s="314"/>
      <c r="H7" s="314" t="s">
        <v>31</v>
      </c>
      <c r="I7" s="314"/>
      <c r="J7" s="313">
        <v>20636</v>
      </c>
      <c r="K7" s="314"/>
      <c r="L7" s="314" t="s">
        <v>9</v>
      </c>
      <c r="M7" s="314"/>
      <c r="N7" s="313">
        <v>20667</v>
      </c>
      <c r="O7" s="314"/>
      <c r="P7" s="314" t="s">
        <v>31</v>
      </c>
      <c r="Q7" s="314"/>
      <c r="R7" s="313">
        <v>20698</v>
      </c>
      <c r="S7" s="314"/>
      <c r="T7" s="314" t="s">
        <v>9</v>
      </c>
      <c r="U7" s="314"/>
      <c r="V7" s="313">
        <v>20728</v>
      </c>
      <c r="W7" s="314"/>
      <c r="X7" s="314" t="s">
        <v>31</v>
      </c>
      <c r="Y7" s="314"/>
      <c r="Z7" s="313">
        <v>20759</v>
      </c>
      <c r="AA7" s="314"/>
      <c r="AB7" s="314" t="s">
        <v>9</v>
      </c>
      <c r="AC7" s="314"/>
      <c r="AD7" s="313">
        <v>20789</v>
      </c>
      <c r="AE7" s="314"/>
      <c r="AF7" s="314" t="s">
        <v>31</v>
      </c>
      <c r="AG7" s="314"/>
      <c r="AH7" s="313">
        <v>20820</v>
      </c>
      <c r="AI7" s="314"/>
      <c r="AJ7" s="314" t="s">
        <v>9</v>
      </c>
      <c r="AK7" s="314"/>
      <c r="AL7" s="313">
        <v>20851</v>
      </c>
      <c r="AM7" s="314"/>
      <c r="AN7" s="314" t="s">
        <v>31</v>
      </c>
      <c r="AO7" s="314"/>
      <c r="AP7" s="313">
        <v>20879</v>
      </c>
      <c r="AQ7" s="314"/>
      <c r="AR7" s="314" t="s">
        <v>9</v>
      </c>
      <c r="AS7" s="314"/>
      <c r="AT7" s="313">
        <v>20910</v>
      </c>
      <c r="AU7" s="314"/>
      <c r="AV7" s="314" t="s">
        <v>31</v>
      </c>
      <c r="AW7" s="314"/>
      <c r="AX7" s="313">
        <v>20940</v>
      </c>
      <c r="AY7" s="314"/>
      <c r="AZ7" s="314" t="s">
        <v>31</v>
      </c>
      <c r="BA7" s="314"/>
      <c r="BB7" s="313" t="s">
        <v>32</v>
      </c>
      <c r="BC7" s="314"/>
      <c r="BD7" s="314" t="s">
        <v>33</v>
      </c>
      <c r="BE7" s="314"/>
      <c r="BF7" s="314" t="s">
        <v>34</v>
      </c>
      <c r="BG7" s="314"/>
      <c r="BH7" s="314"/>
      <c r="BI7" s="314"/>
      <c r="BJ7" s="314" t="s">
        <v>35</v>
      </c>
      <c r="BK7" s="314"/>
      <c r="BL7" s="314" t="s">
        <v>36</v>
      </c>
      <c r="BM7" s="314"/>
      <c r="BN7" s="314" t="s">
        <v>19</v>
      </c>
      <c r="BO7" s="314"/>
      <c r="BP7" s="314" t="s">
        <v>37</v>
      </c>
      <c r="BQ7" s="314"/>
    </row>
    <row r="8" spans="1:69" s="57" customFormat="1" x14ac:dyDescent="0.5">
      <c r="A8" s="318"/>
      <c r="B8" s="314"/>
      <c r="C8" s="320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4"/>
      <c r="AB8" s="314"/>
      <c r="AC8" s="314"/>
      <c r="AD8" s="314"/>
      <c r="AE8" s="314"/>
      <c r="AF8" s="314"/>
      <c r="AG8" s="314"/>
      <c r="AH8" s="314"/>
      <c r="AI8" s="314"/>
      <c r="AJ8" s="314"/>
      <c r="AK8" s="314"/>
      <c r="AL8" s="314"/>
      <c r="AM8" s="314"/>
      <c r="AN8" s="314"/>
      <c r="AO8" s="314"/>
      <c r="AP8" s="314"/>
      <c r="AQ8" s="314"/>
      <c r="AR8" s="314"/>
      <c r="AS8" s="314"/>
      <c r="AT8" s="314"/>
      <c r="AU8" s="314"/>
      <c r="AV8" s="314"/>
      <c r="AW8" s="314"/>
      <c r="AX8" s="314"/>
      <c r="AY8" s="314"/>
      <c r="AZ8" s="314"/>
      <c r="BA8" s="314"/>
      <c r="BB8" s="314"/>
      <c r="BC8" s="314"/>
      <c r="BD8" s="314"/>
      <c r="BE8" s="314"/>
      <c r="BF8" s="314"/>
      <c r="BG8" s="314"/>
      <c r="BH8" s="314"/>
      <c r="BI8" s="314"/>
      <c r="BJ8" s="314"/>
      <c r="BK8" s="314"/>
      <c r="BL8" s="314"/>
      <c r="BM8" s="314"/>
      <c r="BN8" s="314"/>
      <c r="BO8" s="314"/>
      <c r="BP8" s="314"/>
      <c r="BQ8" s="314"/>
    </row>
    <row r="9" spans="1:69" s="57" customFormat="1" x14ac:dyDescent="0.5">
      <c r="A9" s="5" t="s">
        <v>96</v>
      </c>
      <c r="B9" s="314"/>
      <c r="C9" s="321"/>
      <c r="D9" s="58" t="s">
        <v>38</v>
      </c>
      <c r="E9" s="58" t="s">
        <v>39</v>
      </c>
      <c r="F9" s="58" t="s">
        <v>38</v>
      </c>
      <c r="G9" s="58" t="s">
        <v>39</v>
      </c>
      <c r="H9" s="58" t="s">
        <v>38</v>
      </c>
      <c r="I9" s="58" t="s">
        <v>39</v>
      </c>
      <c r="J9" s="58" t="s">
        <v>38</v>
      </c>
      <c r="K9" s="58" t="s">
        <v>39</v>
      </c>
      <c r="L9" s="58" t="s">
        <v>38</v>
      </c>
      <c r="M9" s="58" t="s">
        <v>39</v>
      </c>
      <c r="N9" s="58" t="s">
        <v>38</v>
      </c>
      <c r="O9" s="58" t="s">
        <v>39</v>
      </c>
      <c r="P9" s="58" t="s">
        <v>38</v>
      </c>
      <c r="Q9" s="58" t="s">
        <v>39</v>
      </c>
      <c r="R9" s="58" t="s">
        <v>38</v>
      </c>
      <c r="S9" s="58" t="s">
        <v>39</v>
      </c>
      <c r="T9" s="58" t="s">
        <v>38</v>
      </c>
      <c r="U9" s="58" t="s">
        <v>39</v>
      </c>
      <c r="V9" s="58" t="s">
        <v>38</v>
      </c>
      <c r="W9" s="58" t="s">
        <v>39</v>
      </c>
      <c r="X9" s="58" t="s">
        <v>38</v>
      </c>
      <c r="Y9" s="58" t="s">
        <v>39</v>
      </c>
      <c r="Z9" s="58" t="s">
        <v>38</v>
      </c>
      <c r="AA9" s="58" t="s">
        <v>39</v>
      </c>
      <c r="AB9" s="58" t="s">
        <v>38</v>
      </c>
      <c r="AC9" s="58" t="s">
        <v>39</v>
      </c>
      <c r="AD9" s="58" t="s">
        <v>38</v>
      </c>
      <c r="AE9" s="58" t="s">
        <v>39</v>
      </c>
      <c r="AF9" s="58" t="s">
        <v>38</v>
      </c>
      <c r="AG9" s="58" t="s">
        <v>39</v>
      </c>
      <c r="AH9" s="58" t="s">
        <v>38</v>
      </c>
      <c r="AI9" s="58" t="s">
        <v>39</v>
      </c>
      <c r="AJ9" s="58" t="s">
        <v>38</v>
      </c>
      <c r="AK9" s="58" t="s">
        <v>39</v>
      </c>
      <c r="AL9" s="58" t="s">
        <v>38</v>
      </c>
      <c r="AM9" s="58" t="s">
        <v>39</v>
      </c>
      <c r="AN9" s="58" t="s">
        <v>38</v>
      </c>
      <c r="AO9" s="58" t="s">
        <v>39</v>
      </c>
      <c r="AP9" s="58" t="s">
        <v>38</v>
      </c>
      <c r="AQ9" s="58" t="s">
        <v>39</v>
      </c>
      <c r="AR9" s="58" t="s">
        <v>38</v>
      </c>
      <c r="AS9" s="58" t="s">
        <v>39</v>
      </c>
      <c r="AT9" s="58" t="s">
        <v>38</v>
      </c>
      <c r="AU9" s="58" t="s">
        <v>39</v>
      </c>
      <c r="AV9" s="58" t="s">
        <v>38</v>
      </c>
      <c r="AW9" s="58" t="s">
        <v>39</v>
      </c>
      <c r="AX9" s="58" t="s">
        <v>38</v>
      </c>
      <c r="AY9" s="58" t="s">
        <v>39</v>
      </c>
      <c r="AZ9" s="58" t="s">
        <v>38</v>
      </c>
      <c r="BA9" s="58" t="s">
        <v>39</v>
      </c>
      <c r="BB9" s="58" t="s">
        <v>38</v>
      </c>
      <c r="BC9" s="58" t="s">
        <v>39</v>
      </c>
      <c r="BD9" s="58" t="s">
        <v>38</v>
      </c>
      <c r="BE9" s="58" t="s">
        <v>39</v>
      </c>
      <c r="BF9" s="59"/>
      <c r="BG9" s="58" t="s">
        <v>38</v>
      </c>
      <c r="BH9" s="58"/>
      <c r="BI9" s="58" t="s">
        <v>39</v>
      </c>
      <c r="BJ9" s="58" t="s">
        <v>38</v>
      </c>
      <c r="BK9" s="58" t="s">
        <v>39</v>
      </c>
      <c r="BL9" s="58" t="s">
        <v>38</v>
      </c>
      <c r="BM9" s="58" t="s">
        <v>39</v>
      </c>
      <c r="BN9" s="58" t="s">
        <v>38</v>
      </c>
      <c r="BO9" s="58" t="s">
        <v>39</v>
      </c>
      <c r="BP9" s="58" t="s">
        <v>38</v>
      </c>
      <c r="BQ9" s="58" t="s">
        <v>39</v>
      </c>
    </row>
    <row r="10" spans="1:69" x14ac:dyDescent="0.5">
      <c r="A10" s="20">
        <v>5</v>
      </c>
      <c r="B10" s="21" t="s">
        <v>1</v>
      </c>
      <c r="C10" s="22" t="s">
        <v>98</v>
      </c>
      <c r="D10" s="23">
        <v>21778.59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>
        <v>6993029.9500000002</v>
      </c>
      <c r="BC10" s="23">
        <f>6957340.99+2.29</f>
        <v>6957343.2800000003</v>
      </c>
      <c r="BD10" s="24">
        <f t="shared" ref="BD10:BD15" si="0">D10+BB10-BC10</f>
        <v>57465.259999999776</v>
      </c>
      <c r="BE10" s="23"/>
      <c r="BF10" s="25"/>
      <c r="BG10" s="26"/>
      <c r="BH10" s="20"/>
      <c r="BI10" s="26"/>
      <c r="BJ10" s="26">
        <f t="shared" ref="BJ10:BJ15" si="1">BD10+BG10-BI10</f>
        <v>57465.259999999776</v>
      </c>
      <c r="BK10" s="26"/>
      <c r="BL10" s="26"/>
      <c r="BM10" s="26"/>
      <c r="BN10" s="26"/>
      <c r="BO10" s="26"/>
      <c r="BP10" s="26">
        <f t="shared" ref="BP10:BP15" si="2">BJ10</f>
        <v>57465.259999999776</v>
      </c>
      <c r="BQ10" s="26"/>
    </row>
    <row r="11" spans="1:69" x14ac:dyDescent="0.5">
      <c r="A11" s="27">
        <v>22</v>
      </c>
      <c r="B11" s="28" t="s">
        <v>40</v>
      </c>
      <c r="C11" s="29" t="s">
        <v>102</v>
      </c>
      <c r="D11" s="30">
        <v>188846.94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>
        <v>2976293.03</v>
      </c>
      <c r="BC11" s="30">
        <v>2816000</v>
      </c>
      <c r="BD11" s="30">
        <f t="shared" si="0"/>
        <v>349139.96999999974</v>
      </c>
      <c r="BE11" s="30"/>
      <c r="BF11" s="31">
        <v>1</v>
      </c>
      <c r="BG11" s="32">
        <v>667.49</v>
      </c>
      <c r="BH11" s="27"/>
      <c r="BI11" s="32"/>
      <c r="BJ11" s="32">
        <f t="shared" si="1"/>
        <v>349807.45999999973</v>
      </c>
      <c r="BK11" s="32"/>
      <c r="BL11" s="32"/>
      <c r="BM11" s="32"/>
      <c r="BN11" s="32"/>
      <c r="BO11" s="32"/>
      <c r="BP11" s="32">
        <f t="shared" si="2"/>
        <v>349807.45999999973</v>
      </c>
      <c r="BQ11" s="32"/>
    </row>
    <row r="12" spans="1:69" x14ac:dyDescent="0.5">
      <c r="A12" s="27">
        <v>27</v>
      </c>
      <c r="B12" s="28" t="s">
        <v>41</v>
      </c>
      <c r="C12" s="29" t="s">
        <v>102</v>
      </c>
      <c r="D12" s="30">
        <v>137568.56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>
        <v>549.38</v>
      </c>
      <c r="BC12" s="30">
        <v>138117.94</v>
      </c>
      <c r="BD12" s="30">
        <f t="shared" si="0"/>
        <v>0</v>
      </c>
      <c r="BE12" s="30"/>
      <c r="BF12" s="31"/>
      <c r="BG12" s="32"/>
      <c r="BH12" s="27"/>
      <c r="BI12" s="32"/>
      <c r="BJ12" s="32">
        <f t="shared" si="1"/>
        <v>0</v>
      </c>
      <c r="BK12" s="32"/>
      <c r="BL12" s="32"/>
      <c r="BM12" s="32"/>
      <c r="BN12" s="32"/>
      <c r="BO12" s="32"/>
      <c r="BP12" s="32">
        <f t="shared" si="2"/>
        <v>0</v>
      </c>
      <c r="BQ12" s="32"/>
    </row>
    <row r="13" spans="1:69" x14ac:dyDescent="0.5">
      <c r="A13" s="27">
        <v>33</v>
      </c>
      <c r="B13" s="28" t="s">
        <v>42</v>
      </c>
      <c r="C13" s="29" t="s">
        <v>102</v>
      </c>
      <c r="D13" s="30">
        <v>571.41999999999996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>
        <v>1.43</v>
      </c>
      <c r="BC13" s="30"/>
      <c r="BD13" s="30">
        <f t="shared" si="0"/>
        <v>572.84999999999991</v>
      </c>
      <c r="BE13" s="30"/>
      <c r="BF13" s="31">
        <v>1</v>
      </c>
      <c r="BG13" s="32">
        <v>1.43</v>
      </c>
      <c r="BH13" s="27"/>
      <c r="BI13" s="32"/>
      <c r="BJ13" s="32">
        <f t="shared" si="1"/>
        <v>574.27999999999986</v>
      </c>
      <c r="BK13" s="32"/>
      <c r="BL13" s="32"/>
      <c r="BM13" s="32"/>
      <c r="BN13" s="32"/>
      <c r="BO13" s="32"/>
      <c r="BP13" s="32">
        <f t="shared" si="2"/>
        <v>574.27999999999986</v>
      </c>
      <c r="BQ13" s="32"/>
    </row>
    <row r="14" spans="1:69" x14ac:dyDescent="0.5">
      <c r="A14" s="27">
        <v>37</v>
      </c>
      <c r="B14" s="28" t="s">
        <v>43</v>
      </c>
      <c r="C14" s="29" t="s">
        <v>102</v>
      </c>
      <c r="D14" s="30">
        <v>8144.73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>
        <v>20.309999999999999</v>
      </c>
      <c r="BC14" s="30"/>
      <c r="BD14" s="30">
        <f t="shared" si="0"/>
        <v>8165.04</v>
      </c>
      <c r="BE14" s="30"/>
      <c r="BF14" s="31">
        <v>1</v>
      </c>
      <c r="BG14" s="32">
        <v>20.36</v>
      </c>
      <c r="BH14" s="27"/>
      <c r="BI14" s="32"/>
      <c r="BJ14" s="32">
        <f t="shared" si="1"/>
        <v>8185.4</v>
      </c>
      <c r="BK14" s="32"/>
      <c r="BL14" s="32"/>
      <c r="BM14" s="32"/>
      <c r="BN14" s="32"/>
      <c r="BO14" s="32"/>
      <c r="BP14" s="32">
        <f t="shared" si="2"/>
        <v>8185.4</v>
      </c>
      <c r="BQ14" s="32"/>
    </row>
    <row r="15" spans="1:69" x14ac:dyDescent="0.5">
      <c r="A15" s="27">
        <v>41</v>
      </c>
      <c r="B15" s="28" t="s">
        <v>44</v>
      </c>
      <c r="C15" s="29"/>
      <c r="D15" s="30">
        <v>384907.3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>
        <f t="shared" si="0"/>
        <v>384907.3</v>
      </c>
      <c r="BE15" s="30"/>
      <c r="BF15" s="31"/>
      <c r="BG15" s="32"/>
      <c r="BH15" s="27"/>
      <c r="BI15" s="32"/>
      <c r="BJ15" s="32">
        <f t="shared" si="1"/>
        <v>384907.3</v>
      </c>
      <c r="BK15" s="32"/>
      <c r="BL15" s="32"/>
      <c r="BM15" s="32"/>
      <c r="BN15" s="32"/>
      <c r="BO15" s="32"/>
      <c r="BP15" s="32">
        <f t="shared" si="2"/>
        <v>384907.3</v>
      </c>
      <c r="BQ15" s="32"/>
    </row>
    <row r="16" spans="1:69" x14ac:dyDescent="0.5">
      <c r="A16" s="27">
        <v>39</v>
      </c>
      <c r="B16" s="28" t="s">
        <v>45</v>
      </c>
      <c r="C16" s="29"/>
      <c r="D16" s="30"/>
      <c r="E16" s="30">
        <v>384907.3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>
        <f>E16+BC16-BB16</f>
        <v>384907.3</v>
      </c>
      <c r="BF16" s="31"/>
      <c r="BG16" s="32"/>
      <c r="BH16" s="27"/>
      <c r="BI16" s="32"/>
      <c r="BJ16" s="32"/>
      <c r="BK16" s="32">
        <f>BE16+BI16-BG16</f>
        <v>384907.3</v>
      </c>
      <c r="BL16" s="32"/>
      <c r="BM16" s="32"/>
      <c r="BN16" s="32"/>
      <c r="BO16" s="32"/>
      <c r="BP16" s="32"/>
      <c r="BQ16" s="32">
        <f>BK16</f>
        <v>384907.3</v>
      </c>
    </row>
    <row r="17" spans="1:69" x14ac:dyDescent="0.5">
      <c r="A17" s="27">
        <v>57</v>
      </c>
      <c r="B17" s="28" t="s">
        <v>82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>
        <v>53300</v>
      </c>
      <c r="BC17" s="30">
        <v>53300</v>
      </c>
      <c r="BD17" s="30"/>
      <c r="BE17" s="30"/>
      <c r="BF17" s="31"/>
      <c r="BG17" s="32"/>
      <c r="BH17" s="27"/>
      <c r="BI17" s="32"/>
      <c r="BJ17" s="32"/>
      <c r="BK17" s="32"/>
      <c r="BL17" s="32"/>
      <c r="BM17" s="32"/>
      <c r="BN17" s="32"/>
      <c r="BO17" s="32"/>
      <c r="BP17" s="32"/>
      <c r="BQ17" s="32"/>
    </row>
    <row r="18" spans="1:69" x14ac:dyDescent="0.5">
      <c r="A18" s="27">
        <v>43</v>
      </c>
      <c r="B18" s="28" t="s">
        <v>46</v>
      </c>
      <c r="C18" s="29" t="s">
        <v>99</v>
      </c>
      <c r="D18" s="30">
        <v>330596.21999999997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>
        <f t="shared" ref="BD18:BD33" si="3">D18+BB18-BC18</f>
        <v>330596.21999999997</v>
      </c>
      <c r="BE18" s="30"/>
      <c r="BF18" s="31">
        <v>2</v>
      </c>
      <c r="BG18" s="32">
        <v>13223.85</v>
      </c>
      <c r="BH18" s="27"/>
      <c r="BI18" s="32"/>
      <c r="BJ18" s="32">
        <f>BD18+BG18-BI18</f>
        <v>343820.06999999995</v>
      </c>
      <c r="BK18" s="32"/>
      <c r="BL18" s="32"/>
      <c r="BM18" s="32"/>
      <c r="BN18" s="32"/>
      <c r="BO18" s="32"/>
      <c r="BP18" s="32">
        <f>BJ18</f>
        <v>343820.06999999995</v>
      </c>
      <c r="BQ18" s="32"/>
    </row>
    <row r="19" spans="1:69" x14ac:dyDescent="0.5">
      <c r="A19" s="27">
        <v>47</v>
      </c>
      <c r="B19" s="28" t="s">
        <v>47</v>
      </c>
      <c r="C19" s="29" t="s">
        <v>104</v>
      </c>
      <c r="D19" s="30">
        <v>474020.7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>
        <v>166060</v>
      </c>
      <c r="BC19" s="30">
        <v>131923</v>
      </c>
      <c r="BD19" s="30">
        <f t="shared" si="3"/>
        <v>508157.69999999995</v>
      </c>
      <c r="BE19" s="30"/>
      <c r="BF19" s="31"/>
      <c r="BG19" s="32"/>
      <c r="BH19" s="27"/>
      <c r="BI19" s="32"/>
      <c r="BJ19" s="32">
        <f>BD19+BG19-BI19</f>
        <v>508157.69999999995</v>
      </c>
      <c r="BK19" s="32"/>
      <c r="BL19" s="32"/>
      <c r="BM19" s="32"/>
      <c r="BN19" s="32"/>
      <c r="BO19" s="32"/>
      <c r="BP19" s="32">
        <f>BJ19</f>
        <v>508157.69999999995</v>
      </c>
      <c r="BQ19" s="32"/>
    </row>
    <row r="20" spans="1:69" x14ac:dyDescent="0.5">
      <c r="A20" s="27">
        <v>45</v>
      </c>
      <c r="B20" s="28" t="s">
        <v>48</v>
      </c>
      <c r="C20" s="29" t="s">
        <v>104</v>
      </c>
      <c r="D20" s="30"/>
      <c r="E20" s="30">
        <v>474020.7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>
        <f>E20+BC20-BB20</f>
        <v>474020.7</v>
      </c>
      <c r="BF20" s="31">
        <v>3</v>
      </c>
      <c r="BG20" s="32">
        <v>36171.5</v>
      </c>
      <c r="BH20" s="27"/>
      <c r="BI20" s="32"/>
      <c r="BJ20" s="32"/>
      <c r="BK20" s="32">
        <f>BE20+BI20-BG20</f>
        <v>437849.2</v>
      </c>
      <c r="BL20" s="32"/>
      <c r="BM20" s="32"/>
      <c r="BN20" s="32"/>
      <c r="BO20" s="32"/>
      <c r="BP20" s="32"/>
      <c r="BQ20" s="32">
        <f>BK20</f>
        <v>437849.2</v>
      </c>
    </row>
    <row r="21" spans="1:69" x14ac:dyDescent="0.5">
      <c r="A21" s="27">
        <v>147</v>
      </c>
      <c r="B21" s="28" t="s">
        <v>135</v>
      </c>
      <c r="C21" s="29"/>
      <c r="D21" s="30">
        <v>8839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>
        <f>D21+BB21-BC21</f>
        <v>8839</v>
      </c>
      <c r="BE21" s="30"/>
      <c r="BF21" s="31"/>
      <c r="BG21" s="32"/>
      <c r="BH21" s="27"/>
      <c r="BI21" s="32"/>
      <c r="BJ21" s="32">
        <f>BD21+BG21-BI21</f>
        <v>8839</v>
      </c>
      <c r="BK21" s="32"/>
      <c r="BL21" s="32">
        <f>BJ21</f>
        <v>8839</v>
      </c>
      <c r="BM21" s="32"/>
      <c r="BN21" s="32"/>
      <c r="BO21" s="32"/>
      <c r="BP21" s="32"/>
      <c r="BQ21" s="32"/>
    </row>
    <row r="22" spans="1:69" x14ac:dyDescent="0.5">
      <c r="A22" s="27">
        <v>53</v>
      </c>
      <c r="B22" s="28" t="s">
        <v>7</v>
      </c>
      <c r="C22" s="29" t="s">
        <v>139</v>
      </c>
      <c r="D22" s="30">
        <v>45031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>
        <f>D22+BB22-BC22</f>
        <v>45031</v>
      </c>
      <c r="BE22" s="30"/>
      <c r="BF22" s="31"/>
      <c r="BG22" s="32"/>
      <c r="BH22" s="27"/>
      <c r="BI22" s="32"/>
      <c r="BJ22" s="32">
        <f>BD22+BG22-BI22</f>
        <v>45031</v>
      </c>
      <c r="BK22" s="32"/>
      <c r="BL22" s="32"/>
      <c r="BM22" s="32"/>
      <c r="BN22" s="32"/>
      <c r="BO22" s="32"/>
      <c r="BP22" s="32">
        <f>BJ22</f>
        <v>45031</v>
      </c>
      <c r="BQ22" s="32"/>
    </row>
    <row r="23" spans="1:69" x14ac:dyDescent="0.5">
      <c r="A23" s="27">
        <v>55</v>
      </c>
      <c r="B23" s="28" t="s">
        <v>49</v>
      </c>
      <c r="C23" s="29"/>
      <c r="D23" s="30"/>
      <c r="E23" s="30">
        <v>45031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>
        <f>E23+BC23-BB23</f>
        <v>45031</v>
      </c>
      <c r="BF23" s="31"/>
      <c r="BG23" s="32"/>
      <c r="BH23" s="27"/>
      <c r="BI23" s="32"/>
      <c r="BJ23" s="32"/>
      <c r="BK23" s="32">
        <f>BE23+BI23-BG23</f>
        <v>45031</v>
      </c>
      <c r="BL23" s="32"/>
      <c r="BM23" s="32"/>
      <c r="BN23" s="32"/>
      <c r="BO23" s="32"/>
      <c r="BP23" s="32"/>
      <c r="BQ23" s="32">
        <f>BK23</f>
        <v>45031</v>
      </c>
    </row>
    <row r="24" spans="1:69" x14ac:dyDescent="0.5">
      <c r="A24" s="27"/>
      <c r="B24" s="28" t="s">
        <v>77</v>
      </c>
      <c r="C24" s="29"/>
      <c r="D24" s="30"/>
      <c r="E24" s="30">
        <v>2978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>
        <f>E24</f>
        <v>2978</v>
      </c>
      <c r="BF24" s="31">
        <v>13</v>
      </c>
      <c r="BG24" s="32">
        <v>2978</v>
      </c>
      <c r="BH24" s="27"/>
      <c r="BI24" s="32"/>
      <c r="BJ24" s="32"/>
      <c r="BK24" s="32"/>
      <c r="BL24" s="32"/>
      <c r="BM24" s="32"/>
      <c r="BN24" s="32"/>
      <c r="BO24" s="32"/>
      <c r="BP24" s="32"/>
      <c r="BQ24" s="32"/>
    </row>
    <row r="25" spans="1:69" s="19" customFormat="1" x14ac:dyDescent="0.5">
      <c r="A25" s="33"/>
      <c r="B25" s="34" t="s">
        <v>50</v>
      </c>
      <c r="C25" s="35"/>
      <c r="D25" s="36">
        <v>5387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>
        <f t="shared" si="3"/>
        <v>5387</v>
      </c>
      <c r="BE25" s="36"/>
      <c r="BF25" s="37"/>
      <c r="BG25" s="38"/>
      <c r="BH25" s="33"/>
      <c r="BI25" s="38"/>
      <c r="BJ25" s="38">
        <f>BD25+BG25-BI25</f>
        <v>5387</v>
      </c>
      <c r="BK25" s="38"/>
      <c r="BL25" s="38"/>
      <c r="BM25" s="38"/>
      <c r="BN25" s="38"/>
      <c r="BO25" s="38"/>
      <c r="BP25" s="38">
        <f t="shared" ref="BP25:BP33" si="4">BJ25</f>
        <v>5387</v>
      </c>
      <c r="BQ25" s="38"/>
    </row>
    <row r="26" spans="1:69" x14ac:dyDescent="0.5">
      <c r="A26" s="27">
        <v>63</v>
      </c>
      <c r="B26" s="28" t="s">
        <v>8</v>
      </c>
      <c r="C26" s="29" t="s">
        <v>140</v>
      </c>
      <c r="D26" s="30">
        <v>1222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>
        <f t="shared" si="3"/>
        <v>1222</v>
      </c>
      <c r="BE26" s="30"/>
      <c r="BF26" s="31"/>
      <c r="BG26" s="32"/>
      <c r="BH26" s="27"/>
      <c r="BI26" s="32"/>
      <c r="BJ26" s="32">
        <f>BD26+BG26-BI26</f>
        <v>1222</v>
      </c>
      <c r="BK26" s="32"/>
      <c r="BL26" s="32"/>
      <c r="BM26" s="32"/>
      <c r="BN26" s="32"/>
      <c r="BO26" s="32"/>
      <c r="BP26" s="32">
        <f t="shared" si="4"/>
        <v>1222</v>
      </c>
      <c r="BQ26" s="32"/>
    </row>
    <row r="27" spans="1:69" x14ac:dyDescent="0.5">
      <c r="A27" s="27">
        <v>175</v>
      </c>
      <c r="B27" s="28" t="s">
        <v>51</v>
      </c>
      <c r="C27" s="29"/>
      <c r="D27" s="30">
        <v>53340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>
        <v>53340</v>
      </c>
      <c r="BD27" s="30">
        <f t="shared" si="3"/>
        <v>0</v>
      </c>
      <c r="BE27" s="30"/>
      <c r="BF27" s="31"/>
      <c r="BG27" s="32"/>
      <c r="BH27" s="27"/>
      <c r="BI27" s="32"/>
      <c r="BJ27" s="32"/>
      <c r="BK27" s="32"/>
      <c r="BL27" s="32"/>
      <c r="BM27" s="32"/>
      <c r="BN27" s="32"/>
      <c r="BO27" s="32"/>
      <c r="BP27" s="32">
        <f t="shared" si="4"/>
        <v>0</v>
      </c>
      <c r="BQ27" s="32"/>
    </row>
    <row r="28" spans="1:69" x14ac:dyDescent="0.5">
      <c r="A28" s="27">
        <v>71</v>
      </c>
      <c r="B28" s="28" t="s">
        <v>52</v>
      </c>
      <c r="C28" s="29" t="s">
        <v>100</v>
      </c>
      <c r="D28" s="30">
        <v>10000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>
        <f t="shared" si="3"/>
        <v>10000</v>
      </c>
      <c r="BE28" s="30"/>
      <c r="BF28" s="31"/>
      <c r="BG28" s="32"/>
      <c r="BH28" s="27"/>
      <c r="BI28" s="32"/>
      <c r="BJ28" s="32">
        <f>BD28+BG28-BI28</f>
        <v>10000</v>
      </c>
      <c r="BK28" s="32"/>
      <c r="BL28" s="32"/>
      <c r="BM28" s="32"/>
      <c r="BN28" s="32"/>
      <c r="BO28" s="32"/>
      <c r="BP28" s="32">
        <f t="shared" si="4"/>
        <v>10000</v>
      </c>
      <c r="BQ28" s="32"/>
    </row>
    <row r="29" spans="1:69" x14ac:dyDescent="0.5">
      <c r="A29" s="27">
        <v>75</v>
      </c>
      <c r="B29" s="28" t="s">
        <v>21</v>
      </c>
      <c r="C29" s="29" t="s">
        <v>141</v>
      </c>
      <c r="D29" s="30">
        <v>25611.67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>
        <f t="shared" si="3"/>
        <v>25611.67</v>
      </c>
      <c r="BE29" s="30"/>
      <c r="BF29" s="31"/>
      <c r="BG29" s="32"/>
      <c r="BH29" s="27">
        <v>4</v>
      </c>
      <c r="BI29" s="32">
        <v>7412</v>
      </c>
      <c r="BJ29" s="32">
        <f>+BD29-BI29</f>
        <v>18199.669999999998</v>
      </c>
      <c r="BK29" s="32"/>
      <c r="BL29" s="32"/>
      <c r="BM29" s="32"/>
      <c r="BN29" s="32"/>
      <c r="BO29" s="32"/>
      <c r="BP29" s="32">
        <f t="shared" si="4"/>
        <v>18199.669999999998</v>
      </c>
      <c r="BQ29" s="32"/>
    </row>
    <row r="30" spans="1:69" x14ac:dyDescent="0.5">
      <c r="A30" s="27">
        <v>79</v>
      </c>
      <c r="B30" s="44" t="s">
        <v>53</v>
      </c>
      <c r="C30" s="29"/>
      <c r="D30" s="30">
        <v>15240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>
        <v>91440</v>
      </c>
      <c r="BC30" s="30">
        <v>15240</v>
      </c>
      <c r="BD30" s="30">
        <f t="shared" si="3"/>
        <v>91440</v>
      </c>
      <c r="BE30" s="30"/>
      <c r="BF30" s="31"/>
      <c r="BG30" s="32"/>
      <c r="BH30" s="27">
        <v>15</v>
      </c>
      <c r="BI30" s="32">
        <v>91440</v>
      </c>
      <c r="BJ30" s="32">
        <f>BD30+BG30-BI30</f>
        <v>0</v>
      </c>
      <c r="BK30" s="32"/>
      <c r="BL30" s="32"/>
      <c r="BM30" s="32"/>
      <c r="BN30" s="32"/>
      <c r="BO30" s="32"/>
      <c r="BP30" s="32">
        <f t="shared" si="4"/>
        <v>0</v>
      </c>
      <c r="BQ30" s="32"/>
    </row>
    <row r="31" spans="1:69" x14ac:dyDescent="0.5">
      <c r="A31" s="27"/>
      <c r="B31" s="44" t="s">
        <v>101</v>
      </c>
      <c r="C31" s="29" t="s">
        <v>140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1">
        <v>17</v>
      </c>
      <c r="BG31" s="32">
        <v>14740</v>
      </c>
      <c r="BH31" s="27"/>
      <c r="BI31" s="32"/>
      <c r="BJ31" s="32">
        <f>BD31+BG31-BI31</f>
        <v>14740</v>
      </c>
      <c r="BK31" s="32"/>
      <c r="BL31" s="32"/>
      <c r="BM31" s="32"/>
      <c r="BN31" s="32"/>
      <c r="BO31" s="32"/>
      <c r="BP31" s="32">
        <f>BJ31</f>
        <v>14740</v>
      </c>
      <c r="BQ31" s="32"/>
    </row>
    <row r="32" spans="1:69" x14ac:dyDescent="0.5">
      <c r="A32" s="27">
        <v>81</v>
      </c>
      <c r="B32" s="28" t="s">
        <v>20</v>
      </c>
      <c r="C32" s="29" t="s">
        <v>103</v>
      </c>
      <c r="D32" s="30">
        <v>4684505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>
        <v>3552390</v>
      </c>
      <c r="BC32" s="30">
        <v>3254086.54</v>
      </c>
      <c r="BD32" s="30">
        <f t="shared" si="3"/>
        <v>4982808.46</v>
      </c>
      <c r="BE32" s="30"/>
      <c r="BF32" s="31">
        <v>14</v>
      </c>
      <c r="BG32" s="32">
        <v>30000</v>
      </c>
      <c r="BH32" s="27"/>
      <c r="BI32" s="32"/>
      <c r="BJ32" s="32">
        <f>BD32+BG32-BI32</f>
        <v>5012808.46</v>
      </c>
      <c r="BK32" s="32"/>
      <c r="BL32" s="32"/>
      <c r="BM32" s="32"/>
      <c r="BN32" s="32"/>
      <c r="BO32" s="32"/>
      <c r="BP32" s="32">
        <f t="shared" si="4"/>
        <v>5012808.46</v>
      </c>
      <c r="BQ32" s="32"/>
    </row>
    <row r="33" spans="1:69" x14ac:dyDescent="0.5">
      <c r="A33" s="27">
        <v>101</v>
      </c>
      <c r="B33" s="28" t="s">
        <v>136</v>
      </c>
      <c r="C33" s="29" t="s">
        <v>103</v>
      </c>
      <c r="D33" s="30">
        <v>235000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>
        <f t="shared" si="3"/>
        <v>235000</v>
      </c>
      <c r="BE33" s="30"/>
      <c r="BF33" s="31"/>
      <c r="BG33" s="32"/>
      <c r="BH33" s="27">
        <v>14</v>
      </c>
      <c r="BI33" s="32">
        <v>30000</v>
      </c>
      <c r="BJ33" s="32">
        <f>BD33+BG33-BI33</f>
        <v>205000</v>
      </c>
      <c r="BK33" s="32"/>
      <c r="BL33" s="32"/>
      <c r="BM33" s="32"/>
      <c r="BN33" s="32"/>
      <c r="BO33" s="32"/>
      <c r="BP33" s="32">
        <f t="shared" si="4"/>
        <v>205000</v>
      </c>
      <c r="BQ33" s="32"/>
    </row>
    <row r="34" spans="1:69" x14ac:dyDescent="0.5">
      <c r="A34" s="27">
        <v>99</v>
      </c>
      <c r="B34" s="28" t="s">
        <v>54</v>
      </c>
      <c r="C34" s="29" t="s">
        <v>103</v>
      </c>
      <c r="D34" s="30"/>
      <c r="E34" s="30">
        <v>846837.05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>
        <f>E34+BC34-BB34</f>
        <v>846837.05</v>
      </c>
      <c r="BF34" s="31">
        <v>9</v>
      </c>
      <c r="BG34" s="32">
        <v>91565.73</v>
      </c>
      <c r="BH34" s="27"/>
      <c r="BI34" s="32"/>
      <c r="BJ34" s="32"/>
      <c r="BK34" s="32">
        <f>BE34+BI34-BG34</f>
        <v>755271.32000000007</v>
      </c>
      <c r="BL34" s="32"/>
      <c r="BM34" s="32"/>
      <c r="BN34" s="32"/>
      <c r="BO34" s="32"/>
      <c r="BP34" s="32"/>
      <c r="BQ34" s="32">
        <f>BK34</f>
        <v>755271.32000000007</v>
      </c>
    </row>
    <row r="35" spans="1:69" x14ac:dyDescent="0.5">
      <c r="A35" s="27">
        <v>105</v>
      </c>
      <c r="B35" s="28" t="s">
        <v>2</v>
      </c>
      <c r="C35" s="29"/>
      <c r="D35" s="30">
        <v>818191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>
        <f>2450</f>
        <v>2450</v>
      </c>
      <c r="BC35" s="30">
        <v>38809</v>
      </c>
      <c r="BD35" s="30">
        <f>D35+BB35-BC35</f>
        <v>781832</v>
      </c>
      <c r="BE35" s="30"/>
      <c r="BF35" s="45" t="s">
        <v>107</v>
      </c>
      <c r="BG35" s="32">
        <f>29+171840.7</f>
        <v>171869.7</v>
      </c>
      <c r="BH35" s="27">
        <v>21</v>
      </c>
      <c r="BI35" s="32">
        <f>135892+8200</f>
        <v>144092</v>
      </c>
      <c r="BJ35" s="32">
        <f>BD35+BG35-BI35</f>
        <v>809609.7</v>
      </c>
      <c r="BK35" s="32"/>
      <c r="BL35" s="32"/>
      <c r="BM35" s="32"/>
      <c r="BN35" s="32"/>
      <c r="BO35" s="32"/>
      <c r="BP35" s="32">
        <f>BJ35</f>
        <v>809609.7</v>
      </c>
      <c r="BQ35" s="32"/>
    </row>
    <row r="36" spans="1:69" x14ac:dyDescent="0.5">
      <c r="A36" s="27">
        <v>113</v>
      </c>
      <c r="B36" s="28" t="s">
        <v>55</v>
      </c>
      <c r="C36" s="29"/>
      <c r="D36" s="30"/>
      <c r="E36" s="30">
        <v>660356.1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>
        <f>E36+BC36-BB36</f>
        <v>660356.1</v>
      </c>
      <c r="BF36" s="31">
        <v>10</v>
      </c>
      <c r="BG36" s="32">
        <v>82916.100000000006</v>
      </c>
      <c r="BH36" s="27"/>
      <c r="BI36" s="32"/>
      <c r="BJ36" s="32"/>
      <c r="BK36" s="32">
        <f>BE36+BI36-BG36</f>
        <v>577440</v>
      </c>
      <c r="BL36" s="32"/>
      <c r="BM36" s="32"/>
      <c r="BN36" s="32"/>
      <c r="BO36" s="32"/>
      <c r="BP36" s="32"/>
      <c r="BQ36" s="32">
        <f>BK36</f>
        <v>577440</v>
      </c>
    </row>
    <row r="37" spans="1:69" x14ac:dyDescent="0.5">
      <c r="A37" s="27">
        <v>119</v>
      </c>
      <c r="B37" s="28" t="s">
        <v>56</v>
      </c>
      <c r="C37" s="29"/>
      <c r="D37" s="30">
        <v>318787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>
        <v>4547</v>
      </c>
      <c r="BD37" s="30">
        <f>D37+BB37-BC37</f>
        <v>314240</v>
      </c>
      <c r="BE37" s="30"/>
      <c r="BF37" s="31">
        <v>19</v>
      </c>
      <c r="BG37" s="32">
        <v>50290.89</v>
      </c>
      <c r="BH37" s="27">
        <v>20</v>
      </c>
      <c r="BI37" s="32">
        <v>66277</v>
      </c>
      <c r="BJ37" s="32">
        <f>BD37+BG37-BI37</f>
        <v>298253.89</v>
      </c>
      <c r="BK37" s="32"/>
      <c r="BL37" s="32"/>
      <c r="BM37" s="32"/>
      <c r="BN37" s="32"/>
      <c r="BO37" s="32"/>
      <c r="BP37" s="32">
        <f>BJ37</f>
        <v>298253.89</v>
      </c>
      <c r="BQ37" s="32"/>
    </row>
    <row r="38" spans="1:69" x14ac:dyDescent="0.5">
      <c r="A38" s="27">
        <v>127</v>
      </c>
      <c r="B38" s="28" t="s">
        <v>57</v>
      </c>
      <c r="C38" s="29"/>
      <c r="D38" s="30"/>
      <c r="E38" s="30">
        <v>318787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>
        <f>E38+BC38-BB38</f>
        <v>318787</v>
      </c>
      <c r="BF38" s="31">
        <v>11</v>
      </c>
      <c r="BG38" s="32">
        <v>20533.11</v>
      </c>
      <c r="BH38" s="27"/>
      <c r="BI38" s="32"/>
      <c r="BJ38" s="32"/>
      <c r="BK38" s="32">
        <f>BE38+BI38-BG38</f>
        <v>298253.89</v>
      </c>
      <c r="BL38" s="32"/>
      <c r="BM38" s="32"/>
      <c r="BN38" s="32"/>
      <c r="BO38" s="32"/>
      <c r="BP38" s="32"/>
      <c r="BQ38" s="32">
        <f>BK38</f>
        <v>298253.89</v>
      </c>
    </row>
    <row r="39" spans="1:69" x14ac:dyDescent="0.5">
      <c r="A39" s="27">
        <v>149</v>
      </c>
      <c r="B39" s="28" t="s">
        <v>58</v>
      </c>
      <c r="C39" s="29" t="s">
        <v>142</v>
      </c>
      <c r="D39" s="30"/>
      <c r="E39" s="30">
        <v>268122.63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>
        <v>8752.67</v>
      </c>
      <c r="BC39" s="30">
        <v>50318.48</v>
      </c>
      <c r="BD39" s="30"/>
      <c r="BE39" s="30">
        <f t="shared" ref="BE39:BE66" si="5">E39+BC39-BB39</f>
        <v>309688.44</v>
      </c>
      <c r="BF39" s="31" t="s">
        <v>105</v>
      </c>
      <c r="BG39" s="32">
        <f>796+210.98</f>
        <v>1006.98</v>
      </c>
      <c r="BH39" s="27"/>
      <c r="BI39" s="32"/>
      <c r="BJ39" s="32"/>
      <c r="BK39" s="32">
        <f>BE39+BI39-BG39</f>
        <v>308681.46000000002</v>
      </c>
      <c r="BL39" s="32"/>
      <c r="BM39" s="32"/>
      <c r="BN39" s="32"/>
      <c r="BO39" s="32"/>
      <c r="BP39" s="32"/>
      <c r="BQ39" s="32">
        <f>BK39</f>
        <v>308681.46000000002</v>
      </c>
    </row>
    <row r="40" spans="1:69" x14ac:dyDescent="0.5">
      <c r="A40" s="27">
        <v>155</v>
      </c>
      <c r="B40" s="28" t="s">
        <v>59</v>
      </c>
      <c r="C40" s="29"/>
      <c r="D40" s="30"/>
      <c r="E40" s="30">
        <v>16474.86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>
        <f t="shared" si="5"/>
        <v>16474.86</v>
      </c>
      <c r="BF40" s="31"/>
      <c r="BG40" s="32"/>
      <c r="BH40" s="27"/>
      <c r="BI40" s="32"/>
      <c r="BJ40" s="32"/>
      <c r="BK40" s="32">
        <f t="shared" ref="BK40:BK50" si="6">BE40+BI40-BG40</f>
        <v>16474.86</v>
      </c>
      <c r="BL40" s="32"/>
      <c r="BM40" s="32"/>
      <c r="BN40" s="32"/>
      <c r="BO40" s="32"/>
      <c r="BP40" s="32"/>
      <c r="BQ40" s="32">
        <f>BK40</f>
        <v>16474.86</v>
      </c>
    </row>
    <row r="41" spans="1:69" x14ac:dyDescent="0.5">
      <c r="A41" s="27">
        <v>65</v>
      </c>
      <c r="B41" s="28" t="s">
        <v>6</v>
      </c>
      <c r="C41" s="29" t="s">
        <v>143</v>
      </c>
      <c r="D41" s="30"/>
      <c r="E41" s="30">
        <v>16695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>
        <f t="shared" si="5"/>
        <v>16695</v>
      </c>
      <c r="BF41" s="31"/>
      <c r="BG41" s="32"/>
      <c r="BH41" s="27"/>
      <c r="BI41" s="32"/>
      <c r="BJ41" s="32"/>
      <c r="BK41" s="32">
        <f t="shared" si="6"/>
        <v>16695</v>
      </c>
      <c r="BL41" s="32"/>
      <c r="BM41" s="32"/>
      <c r="BN41" s="32"/>
      <c r="BO41" s="32"/>
      <c r="BP41" s="32"/>
      <c r="BQ41" s="32">
        <f t="shared" ref="BQ41:BQ50" si="7">BK41</f>
        <v>16695</v>
      </c>
    </row>
    <row r="42" spans="1:69" x14ac:dyDescent="0.5">
      <c r="A42" s="27">
        <v>159</v>
      </c>
      <c r="B42" s="28" t="s">
        <v>5</v>
      </c>
      <c r="C42" s="29" t="s">
        <v>143</v>
      </c>
      <c r="D42" s="30"/>
      <c r="E42" s="30">
        <v>600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>
        <f t="shared" si="5"/>
        <v>600</v>
      </c>
      <c r="BF42" s="31"/>
      <c r="BG42" s="32"/>
      <c r="BH42" s="27"/>
      <c r="BI42" s="32"/>
      <c r="BJ42" s="32"/>
      <c r="BK42" s="32">
        <f t="shared" si="6"/>
        <v>600</v>
      </c>
      <c r="BL42" s="32"/>
      <c r="BM42" s="32"/>
      <c r="BN42" s="32"/>
      <c r="BO42" s="32"/>
      <c r="BP42" s="32"/>
      <c r="BQ42" s="32">
        <f t="shared" si="7"/>
        <v>600</v>
      </c>
    </row>
    <row r="43" spans="1:69" x14ac:dyDescent="0.5">
      <c r="A43" s="27">
        <v>163</v>
      </c>
      <c r="B43" s="28" t="s">
        <v>0</v>
      </c>
      <c r="C43" s="29" t="s">
        <v>143</v>
      </c>
      <c r="D43" s="30"/>
      <c r="E43" s="30">
        <v>6209.34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>
        <f t="shared" si="5"/>
        <v>6209.34</v>
      </c>
      <c r="BF43" s="31"/>
      <c r="BG43" s="32"/>
      <c r="BH43" s="27"/>
      <c r="BI43" s="32"/>
      <c r="BJ43" s="32"/>
      <c r="BK43" s="32">
        <f t="shared" si="6"/>
        <v>6209.34</v>
      </c>
      <c r="BL43" s="32"/>
      <c r="BM43" s="32"/>
      <c r="BN43" s="32"/>
      <c r="BO43" s="32"/>
      <c r="BP43" s="32"/>
      <c r="BQ43" s="32">
        <f t="shared" si="7"/>
        <v>6209.34</v>
      </c>
    </row>
    <row r="44" spans="1:69" x14ac:dyDescent="0.5">
      <c r="A44" s="27">
        <v>167</v>
      </c>
      <c r="B44" s="28" t="s">
        <v>60</v>
      </c>
      <c r="C44" s="29" t="s">
        <v>143</v>
      </c>
      <c r="D44" s="30"/>
      <c r="E44" s="30">
        <v>600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>
        <f t="shared" si="5"/>
        <v>600</v>
      </c>
      <c r="BF44" s="31"/>
      <c r="BG44" s="32"/>
      <c r="BH44" s="27"/>
      <c r="BI44" s="32"/>
      <c r="BJ44" s="32"/>
      <c r="BK44" s="32">
        <f t="shared" si="6"/>
        <v>600</v>
      </c>
      <c r="BL44" s="32"/>
      <c r="BM44" s="32"/>
      <c r="BN44" s="32"/>
      <c r="BO44" s="32"/>
      <c r="BP44" s="32"/>
      <c r="BQ44" s="32">
        <f t="shared" si="7"/>
        <v>600</v>
      </c>
    </row>
    <row r="45" spans="1:69" x14ac:dyDescent="0.5">
      <c r="A45" s="27">
        <v>171</v>
      </c>
      <c r="B45" s="28" t="s">
        <v>61</v>
      </c>
      <c r="C45" s="29" t="s">
        <v>143</v>
      </c>
      <c r="D45" s="30"/>
      <c r="E45" s="30">
        <v>69060.149999999994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>
        <f t="shared" si="5"/>
        <v>69060.149999999994</v>
      </c>
      <c r="BF45" s="31"/>
      <c r="BG45" s="32"/>
      <c r="BH45" s="27"/>
      <c r="BI45" s="32"/>
      <c r="BJ45" s="32"/>
      <c r="BK45" s="32">
        <f t="shared" si="6"/>
        <v>69060.149999999994</v>
      </c>
      <c r="BL45" s="32"/>
      <c r="BM45" s="32"/>
      <c r="BN45" s="32"/>
      <c r="BO45" s="32"/>
      <c r="BP45" s="32"/>
      <c r="BQ45" s="32">
        <f t="shared" si="7"/>
        <v>69060.149999999994</v>
      </c>
    </row>
    <row r="46" spans="1:69" x14ac:dyDescent="0.5">
      <c r="A46" s="27">
        <v>67</v>
      </c>
      <c r="B46" s="46" t="s">
        <v>62</v>
      </c>
      <c r="C46" s="29"/>
      <c r="D46" s="30"/>
      <c r="E46" s="30">
        <v>53340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>
        <v>15240</v>
      </c>
      <c r="BC46" s="30">
        <v>53300</v>
      </c>
      <c r="BD46" s="30"/>
      <c r="BE46" s="30">
        <f t="shared" si="5"/>
        <v>91400</v>
      </c>
      <c r="BF46" s="31">
        <v>15</v>
      </c>
      <c r="BG46" s="32">
        <v>91400</v>
      </c>
      <c r="BH46" s="27"/>
      <c r="BI46" s="32"/>
      <c r="BJ46" s="32"/>
      <c r="BK46" s="32">
        <f t="shared" si="6"/>
        <v>0</v>
      </c>
      <c r="BL46" s="32"/>
      <c r="BM46" s="32"/>
      <c r="BN46" s="32"/>
      <c r="BO46" s="32"/>
      <c r="BP46" s="32"/>
      <c r="BQ46" s="32">
        <f t="shared" si="7"/>
        <v>0</v>
      </c>
    </row>
    <row r="47" spans="1:69" x14ac:dyDescent="0.5">
      <c r="A47" s="27"/>
      <c r="B47" s="46" t="s">
        <v>83</v>
      </c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>
        <v>22110</v>
      </c>
      <c r="BD47" s="30"/>
      <c r="BE47" s="30">
        <f t="shared" si="5"/>
        <v>22110</v>
      </c>
      <c r="BF47" s="31">
        <v>16</v>
      </c>
      <c r="BG47" s="32">
        <v>22110</v>
      </c>
      <c r="BH47" s="27"/>
      <c r="BI47" s="32"/>
      <c r="BJ47" s="32"/>
      <c r="BK47" s="32">
        <f t="shared" si="6"/>
        <v>0</v>
      </c>
      <c r="BL47" s="32"/>
      <c r="BM47" s="32"/>
      <c r="BN47" s="32"/>
      <c r="BO47" s="32"/>
      <c r="BP47" s="32"/>
      <c r="BQ47" s="32">
        <f t="shared" si="7"/>
        <v>0</v>
      </c>
    </row>
    <row r="48" spans="1:69" x14ac:dyDescent="0.5">
      <c r="A48" s="27">
        <v>177</v>
      </c>
      <c r="B48" s="47" t="s">
        <v>63</v>
      </c>
      <c r="C48" s="29" t="s">
        <v>143</v>
      </c>
      <c r="D48" s="30"/>
      <c r="E48" s="30">
        <v>200000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>
        <f t="shared" si="5"/>
        <v>200000</v>
      </c>
      <c r="BF48" s="31"/>
      <c r="BG48" s="32"/>
      <c r="BH48" s="27"/>
      <c r="BI48" s="32"/>
      <c r="BJ48" s="32"/>
      <c r="BK48" s="32">
        <f t="shared" si="6"/>
        <v>200000</v>
      </c>
      <c r="BL48" s="32"/>
      <c r="BM48" s="32"/>
      <c r="BN48" s="32"/>
      <c r="BO48" s="32"/>
      <c r="BP48" s="32"/>
      <c r="BQ48" s="32">
        <f t="shared" si="7"/>
        <v>200000</v>
      </c>
    </row>
    <row r="49" spans="1:69" x14ac:dyDescent="0.5">
      <c r="A49" s="27"/>
      <c r="B49" s="47" t="s">
        <v>108</v>
      </c>
      <c r="C49" s="29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>
        <v>50000</v>
      </c>
      <c r="BD49" s="30"/>
      <c r="BE49" s="30">
        <v>50000</v>
      </c>
      <c r="BF49" s="31"/>
      <c r="BG49" s="32"/>
      <c r="BH49" s="27"/>
      <c r="BI49" s="32"/>
      <c r="BJ49" s="32"/>
      <c r="BK49" s="32">
        <f>BE49</f>
        <v>50000</v>
      </c>
      <c r="BL49" s="32"/>
      <c r="BM49" s="32"/>
      <c r="BN49" s="32"/>
      <c r="BO49" s="32"/>
      <c r="BP49" s="32"/>
      <c r="BQ49" s="32">
        <f t="shared" si="7"/>
        <v>50000</v>
      </c>
    </row>
    <row r="50" spans="1:69" x14ac:dyDescent="0.5">
      <c r="A50" s="27">
        <v>181</v>
      </c>
      <c r="B50" s="28" t="s">
        <v>64</v>
      </c>
      <c r="C50" s="29"/>
      <c r="D50" s="30"/>
      <c r="E50" s="30">
        <v>3528929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>
        <f t="shared" si="5"/>
        <v>3528929</v>
      </c>
      <c r="BF50" s="31"/>
      <c r="BG50" s="32"/>
      <c r="BH50" s="27"/>
      <c r="BI50" s="32"/>
      <c r="BJ50" s="32"/>
      <c r="BK50" s="32">
        <f t="shared" si="6"/>
        <v>3528929</v>
      </c>
      <c r="BL50" s="32"/>
      <c r="BM50" s="32"/>
      <c r="BN50" s="32"/>
      <c r="BO50" s="32"/>
      <c r="BP50" s="32"/>
      <c r="BQ50" s="32">
        <f t="shared" si="7"/>
        <v>3528929</v>
      </c>
    </row>
    <row r="51" spans="1:69" x14ac:dyDescent="0.5">
      <c r="A51" s="27">
        <v>191</v>
      </c>
      <c r="B51" s="28" t="s">
        <v>65</v>
      </c>
      <c r="C51" s="29" t="s">
        <v>144</v>
      </c>
      <c r="D51" s="30"/>
      <c r="E51" s="30">
        <v>954760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>
        <f>18946+50</f>
        <v>18996</v>
      </c>
      <c r="BC51" s="30">
        <f>181510+100</f>
        <v>181610</v>
      </c>
      <c r="BD51" s="30"/>
      <c r="BE51" s="30">
        <f t="shared" si="5"/>
        <v>1117374</v>
      </c>
      <c r="BF51" s="31"/>
      <c r="BG51" s="32"/>
      <c r="BH51" s="27">
        <v>6</v>
      </c>
      <c r="BI51" s="32">
        <v>796</v>
      </c>
      <c r="BJ51" s="32"/>
      <c r="BK51" s="32">
        <f>BE51+BI51-BG51</f>
        <v>1118170</v>
      </c>
      <c r="BL51" s="32"/>
      <c r="BM51" s="32"/>
      <c r="BN51" s="32"/>
      <c r="BO51" s="32"/>
      <c r="BP51" s="32"/>
      <c r="BQ51" s="32">
        <f>BK51</f>
        <v>1118170</v>
      </c>
    </row>
    <row r="52" spans="1:69" x14ac:dyDescent="0.5">
      <c r="A52" s="27">
        <v>197</v>
      </c>
      <c r="B52" s="28" t="s">
        <v>22</v>
      </c>
      <c r="C52" s="29"/>
      <c r="D52" s="30"/>
      <c r="E52" s="30">
        <v>0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>
        <f t="shared" si="5"/>
        <v>0</v>
      </c>
      <c r="BF52" s="31"/>
      <c r="BG52" s="32"/>
      <c r="BH52" s="27"/>
      <c r="BI52" s="32"/>
      <c r="BJ52" s="32"/>
      <c r="BK52" s="32">
        <f>BE52+BI52-BG52</f>
        <v>0</v>
      </c>
      <c r="BL52" s="32"/>
      <c r="BM52" s="32"/>
      <c r="BN52" s="32"/>
      <c r="BO52" s="32"/>
      <c r="BP52" s="32"/>
      <c r="BQ52" s="32">
        <f>BK52</f>
        <v>0</v>
      </c>
    </row>
    <row r="53" spans="1:69" x14ac:dyDescent="0.5">
      <c r="A53" s="27">
        <v>201</v>
      </c>
      <c r="B53" s="28" t="s">
        <v>4</v>
      </c>
      <c r="C53" s="29" t="s">
        <v>145</v>
      </c>
      <c r="D53" s="30"/>
      <c r="E53" s="30">
        <v>58285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>
        <f t="shared" si="5"/>
        <v>58285</v>
      </c>
      <c r="BF53" s="31"/>
      <c r="BG53" s="32"/>
      <c r="BH53" s="27"/>
      <c r="BI53" s="32"/>
      <c r="BJ53" s="32"/>
      <c r="BK53" s="32">
        <f>BE53+BI53-BG53</f>
        <v>58285</v>
      </c>
      <c r="BL53" s="32"/>
      <c r="BM53" s="32"/>
      <c r="BN53" s="32"/>
      <c r="BO53" s="32"/>
      <c r="BP53" s="32"/>
      <c r="BQ53" s="32">
        <f>BK53</f>
        <v>58285</v>
      </c>
    </row>
    <row r="54" spans="1:69" x14ac:dyDescent="0.5">
      <c r="A54" s="27">
        <v>205</v>
      </c>
      <c r="B54" s="28" t="s">
        <v>3</v>
      </c>
      <c r="C54" s="29" t="s">
        <v>145</v>
      </c>
      <c r="D54" s="30"/>
      <c r="E54" s="30">
        <v>48650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2"/>
      <c r="AZ54" s="30"/>
      <c r="BA54" s="30"/>
      <c r="BB54" s="30"/>
      <c r="BC54" s="30"/>
      <c r="BD54" s="30"/>
      <c r="BE54" s="30">
        <f t="shared" si="5"/>
        <v>48650</v>
      </c>
      <c r="BF54" s="31"/>
      <c r="BG54" s="32"/>
      <c r="BH54" s="27"/>
      <c r="BI54" s="32"/>
      <c r="BJ54" s="32"/>
      <c r="BK54" s="32">
        <f>BE54+BI54-BG54</f>
        <v>48650</v>
      </c>
      <c r="BL54" s="32"/>
      <c r="BM54" s="32"/>
      <c r="BN54" s="32"/>
      <c r="BO54" s="32"/>
      <c r="BP54" s="32"/>
      <c r="BQ54" s="32">
        <f>BK54</f>
        <v>48650</v>
      </c>
    </row>
    <row r="55" spans="1:69" x14ac:dyDescent="0.5">
      <c r="A55" s="27">
        <v>209</v>
      </c>
      <c r="B55" s="28" t="s">
        <v>66</v>
      </c>
      <c r="C55" s="29" t="s">
        <v>145</v>
      </c>
      <c r="D55" s="30"/>
      <c r="E55" s="30">
        <v>9272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2"/>
      <c r="AZ55" s="30"/>
      <c r="BA55" s="30"/>
      <c r="BB55" s="30"/>
      <c r="BC55" s="30"/>
      <c r="BD55" s="30"/>
      <c r="BE55" s="30">
        <f t="shared" si="5"/>
        <v>9272</v>
      </c>
      <c r="BF55" s="31"/>
      <c r="BG55" s="32"/>
      <c r="BH55" s="27"/>
      <c r="BI55" s="32"/>
      <c r="BJ55" s="32"/>
      <c r="BK55" s="32">
        <f>BE55+BI55-BG55</f>
        <v>9272</v>
      </c>
      <c r="BL55" s="32"/>
      <c r="BM55" s="32"/>
      <c r="BN55" s="32"/>
      <c r="BO55" s="32"/>
      <c r="BP55" s="32"/>
      <c r="BQ55" s="32">
        <f>BK55</f>
        <v>9272</v>
      </c>
    </row>
    <row r="56" spans="1:69" x14ac:dyDescent="0.5">
      <c r="A56" s="27"/>
      <c r="B56" s="28" t="s">
        <v>93</v>
      </c>
      <c r="C56" s="28"/>
      <c r="D56" s="30">
        <v>196327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>
        <f>D56+BB56-BC56</f>
        <v>196327</v>
      </c>
      <c r="BE56" s="30"/>
      <c r="BF56" s="31"/>
      <c r="BG56" s="32"/>
      <c r="BH56" s="27"/>
      <c r="BI56" s="32"/>
      <c r="BJ56" s="32">
        <f>BD56+BG56-BI56</f>
        <v>196327</v>
      </c>
      <c r="BK56" s="32"/>
      <c r="BL56" s="32"/>
      <c r="BM56" s="32"/>
      <c r="BN56" s="32"/>
      <c r="BO56" s="32"/>
      <c r="BP56" s="32">
        <f>BJ56</f>
        <v>196327</v>
      </c>
      <c r="BQ56" s="32"/>
    </row>
    <row r="57" spans="1:69" x14ac:dyDescent="0.5">
      <c r="A57" s="27">
        <v>223</v>
      </c>
      <c r="B57" s="28" t="s">
        <v>13</v>
      </c>
      <c r="C57" s="29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>
        <v>2080.8200000000002</v>
      </c>
      <c r="BC57" s="30">
        <f>170394.91</f>
        <v>170394.91</v>
      </c>
      <c r="BD57" s="30"/>
      <c r="BE57" s="30">
        <f t="shared" si="5"/>
        <v>168314.09</v>
      </c>
      <c r="BF57" s="31"/>
      <c r="BG57" s="32"/>
      <c r="BH57" s="27">
        <v>18</v>
      </c>
      <c r="BI57" s="32">
        <v>185752.74</v>
      </c>
      <c r="BJ57" s="32"/>
      <c r="BK57" s="32">
        <f t="shared" ref="BK57:BK76" si="8">BE57+BI57-BG57</f>
        <v>354066.82999999996</v>
      </c>
      <c r="BL57" s="32"/>
      <c r="BM57" s="32"/>
      <c r="BN57" s="32"/>
      <c r="BO57" s="32">
        <f>BK57</f>
        <v>354066.82999999996</v>
      </c>
      <c r="BP57" s="32"/>
      <c r="BQ57" s="32"/>
    </row>
    <row r="58" spans="1:69" x14ac:dyDescent="0.5">
      <c r="A58" s="27">
        <v>243</v>
      </c>
      <c r="B58" s="28" t="s">
        <v>67</v>
      </c>
      <c r="C58" s="2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>
        <v>3710.72</v>
      </c>
      <c r="BD58" s="30"/>
      <c r="BE58" s="30">
        <f t="shared" si="5"/>
        <v>3710.72</v>
      </c>
      <c r="BF58" s="31"/>
      <c r="BG58" s="32"/>
      <c r="BH58" s="27">
        <v>19</v>
      </c>
      <c r="BI58" s="32">
        <f>50290.89+5962.31</f>
        <v>56253.2</v>
      </c>
      <c r="BJ58" s="32"/>
      <c r="BK58" s="32">
        <f t="shared" si="8"/>
        <v>59963.92</v>
      </c>
      <c r="BL58" s="32"/>
      <c r="BM58" s="32"/>
      <c r="BN58" s="32"/>
      <c r="BO58" s="32">
        <f t="shared" ref="BO58:BO64" si="9">BK58</f>
        <v>59963.92</v>
      </c>
      <c r="BP58" s="32"/>
      <c r="BQ58" s="32"/>
    </row>
    <row r="59" spans="1:69" x14ac:dyDescent="0.5">
      <c r="A59" s="27">
        <v>252</v>
      </c>
      <c r="B59" s="28" t="s">
        <v>12</v>
      </c>
      <c r="C59" s="29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>
        <v>289145</v>
      </c>
      <c r="BD59" s="30"/>
      <c r="BE59" s="30">
        <f t="shared" si="5"/>
        <v>289145</v>
      </c>
      <c r="BF59" s="31"/>
      <c r="BG59" s="32"/>
      <c r="BH59" s="27"/>
      <c r="BI59" s="32"/>
      <c r="BJ59" s="32"/>
      <c r="BK59" s="32">
        <f t="shared" si="8"/>
        <v>289145</v>
      </c>
      <c r="BL59" s="32"/>
      <c r="BM59" s="32"/>
      <c r="BN59" s="32"/>
      <c r="BO59" s="32">
        <f t="shared" si="9"/>
        <v>289145</v>
      </c>
      <c r="BP59" s="32"/>
      <c r="BQ59" s="32"/>
    </row>
    <row r="60" spans="1:69" x14ac:dyDescent="0.5">
      <c r="A60" s="27">
        <v>271</v>
      </c>
      <c r="B60" s="28" t="s">
        <v>68</v>
      </c>
      <c r="C60" s="29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>
        <v>400</v>
      </c>
      <c r="BD60" s="30"/>
      <c r="BE60" s="30">
        <f t="shared" si="5"/>
        <v>400</v>
      </c>
      <c r="BF60" s="31"/>
      <c r="BG60" s="32"/>
      <c r="BH60" s="48" t="s">
        <v>137</v>
      </c>
      <c r="BI60" s="32">
        <f>29+232+210.98</f>
        <v>471.98</v>
      </c>
      <c r="BJ60" s="32"/>
      <c r="BK60" s="32">
        <f t="shared" si="8"/>
        <v>871.98</v>
      </c>
      <c r="BL60" s="32"/>
      <c r="BM60" s="32"/>
      <c r="BN60" s="32"/>
      <c r="BO60" s="32">
        <f t="shared" si="9"/>
        <v>871.98</v>
      </c>
      <c r="BP60" s="32"/>
      <c r="BQ60" s="32"/>
    </row>
    <row r="61" spans="1:69" s="19" customFormat="1" x14ac:dyDescent="0.5">
      <c r="A61" s="33">
        <v>275</v>
      </c>
      <c r="B61" s="49" t="s">
        <v>69</v>
      </c>
      <c r="C61" s="35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>
        <v>8824.66</v>
      </c>
      <c r="BD61" s="36"/>
      <c r="BE61" s="36">
        <f t="shared" si="5"/>
        <v>8824.66</v>
      </c>
      <c r="BF61" s="37">
        <v>12</v>
      </c>
      <c r="BG61" s="38">
        <v>8200</v>
      </c>
      <c r="BH61" s="33"/>
      <c r="BI61" s="38"/>
      <c r="BJ61" s="38"/>
      <c r="BK61" s="38">
        <f t="shared" si="8"/>
        <v>624.65999999999985</v>
      </c>
      <c r="BL61" s="38"/>
      <c r="BM61" s="38"/>
      <c r="BN61" s="38"/>
      <c r="BO61" s="38">
        <f t="shared" si="9"/>
        <v>624.65999999999985</v>
      </c>
      <c r="BP61" s="38"/>
      <c r="BQ61" s="38"/>
    </row>
    <row r="62" spans="1:69" x14ac:dyDescent="0.5">
      <c r="A62" s="27">
        <v>277</v>
      </c>
      <c r="B62" s="28" t="s">
        <v>70</v>
      </c>
      <c r="C62" s="29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>
        <f t="shared" si="5"/>
        <v>0</v>
      </c>
      <c r="BF62" s="31"/>
      <c r="BG62" s="32"/>
      <c r="BH62" s="27">
        <v>2</v>
      </c>
      <c r="BI62" s="32">
        <v>13223.85</v>
      </c>
      <c r="BJ62" s="32"/>
      <c r="BK62" s="32">
        <f t="shared" si="8"/>
        <v>13223.85</v>
      </c>
      <c r="BL62" s="32"/>
      <c r="BM62" s="32"/>
      <c r="BN62" s="32"/>
      <c r="BO62" s="32">
        <f t="shared" si="9"/>
        <v>13223.85</v>
      </c>
      <c r="BP62" s="32"/>
      <c r="BQ62" s="32"/>
    </row>
    <row r="63" spans="1:69" x14ac:dyDescent="0.5">
      <c r="A63" s="27">
        <v>279</v>
      </c>
      <c r="B63" s="28" t="s">
        <v>71</v>
      </c>
      <c r="C63" s="29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>
        <v>848.49</v>
      </c>
      <c r="BD63" s="30"/>
      <c r="BE63" s="30">
        <f t="shared" si="5"/>
        <v>848.49</v>
      </c>
      <c r="BF63" s="31"/>
      <c r="BG63" s="32"/>
      <c r="BH63" s="27">
        <v>1</v>
      </c>
      <c r="BI63" s="32">
        <v>689.28</v>
      </c>
      <c r="BJ63" s="32"/>
      <c r="BK63" s="32">
        <f t="shared" si="8"/>
        <v>1537.77</v>
      </c>
      <c r="BL63" s="32"/>
      <c r="BM63" s="32"/>
      <c r="BN63" s="32"/>
      <c r="BO63" s="32">
        <f t="shared" si="9"/>
        <v>1537.77</v>
      </c>
      <c r="BP63" s="32"/>
      <c r="BQ63" s="32"/>
    </row>
    <row r="64" spans="1:69" x14ac:dyDescent="0.5">
      <c r="A64" s="27">
        <v>281</v>
      </c>
      <c r="B64" s="28" t="s">
        <v>10</v>
      </c>
      <c r="C64" s="29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>
        <v>50</v>
      </c>
      <c r="BC64" s="30">
        <v>300</v>
      </c>
      <c r="BD64" s="30"/>
      <c r="BE64" s="30">
        <f t="shared" si="5"/>
        <v>250</v>
      </c>
      <c r="BF64" s="31"/>
      <c r="BG64" s="32"/>
      <c r="BH64" s="27"/>
      <c r="BI64" s="32"/>
      <c r="BJ64" s="32"/>
      <c r="BK64" s="32">
        <f t="shared" si="8"/>
        <v>250</v>
      </c>
      <c r="BL64" s="32"/>
      <c r="BM64" s="32"/>
      <c r="BN64" s="32"/>
      <c r="BO64" s="32">
        <f t="shared" si="9"/>
        <v>250</v>
      </c>
      <c r="BP64" s="32"/>
      <c r="BQ64" s="32"/>
    </row>
    <row r="65" spans="1:69" x14ac:dyDescent="0.5">
      <c r="A65" s="27"/>
      <c r="B65" s="28" t="s">
        <v>84</v>
      </c>
      <c r="C65" s="29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>
        <v>17480</v>
      </c>
      <c r="BD65" s="30"/>
      <c r="BE65" s="30">
        <f t="shared" si="5"/>
        <v>17480</v>
      </c>
      <c r="BF65" s="31"/>
      <c r="BG65" s="32"/>
      <c r="BH65" s="27"/>
      <c r="BI65" s="32"/>
      <c r="BJ65" s="32"/>
      <c r="BK65" s="32">
        <f t="shared" si="8"/>
        <v>17480</v>
      </c>
      <c r="BL65" s="32"/>
      <c r="BM65" s="32">
        <v>17480</v>
      </c>
      <c r="BN65" s="32"/>
      <c r="BO65" s="32"/>
      <c r="BP65" s="32"/>
      <c r="BQ65" s="32"/>
    </row>
    <row r="66" spans="1:69" x14ac:dyDescent="0.5">
      <c r="A66" s="27"/>
      <c r="B66" s="28" t="s">
        <v>85</v>
      </c>
      <c r="C66" s="29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>
        <v>232</v>
      </c>
      <c r="BD66" s="30"/>
      <c r="BE66" s="30">
        <f t="shared" si="5"/>
        <v>232</v>
      </c>
      <c r="BF66" s="31">
        <v>5</v>
      </c>
      <c r="BG66" s="32">
        <v>232</v>
      </c>
      <c r="BH66" s="27"/>
      <c r="BI66" s="32"/>
      <c r="BJ66" s="32"/>
      <c r="BK66" s="32">
        <f t="shared" si="8"/>
        <v>0</v>
      </c>
      <c r="BL66" s="32"/>
      <c r="BM66" s="32"/>
      <c r="BN66" s="32"/>
      <c r="BO66" s="32"/>
      <c r="BP66" s="32"/>
      <c r="BQ66" s="32"/>
    </row>
    <row r="67" spans="1:69" x14ac:dyDescent="0.5">
      <c r="A67" s="27">
        <v>287</v>
      </c>
      <c r="B67" s="28" t="s">
        <v>23</v>
      </c>
      <c r="C67" s="29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>
        <v>298045</v>
      </c>
      <c r="BC67" s="30"/>
      <c r="BD67" s="30">
        <f t="shared" ref="BD67:BD93" si="10">D67+BB67-BC67</f>
        <v>298045</v>
      </c>
      <c r="BE67" s="30"/>
      <c r="BF67" s="31"/>
      <c r="BG67" s="32"/>
      <c r="BH67" s="27"/>
      <c r="BI67" s="32"/>
      <c r="BJ67" s="32">
        <f t="shared" ref="BJ67:BJ93" si="11">BD67+BG67-BI67</f>
        <v>298045</v>
      </c>
      <c r="BK67" s="32">
        <f t="shared" si="8"/>
        <v>0</v>
      </c>
      <c r="BL67" s="32">
        <f>BJ67</f>
        <v>298045</v>
      </c>
      <c r="BM67" s="32"/>
      <c r="BN67" s="32"/>
      <c r="BO67" s="32"/>
      <c r="BP67" s="32"/>
      <c r="BQ67" s="32"/>
    </row>
    <row r="68" spans="1:69" x14ac:dyDescent="0.5">
      <c r="A68" s="27">
        <v>305</v>
      </c>
      <c r="B68" s="28" t="s">
        <v>18</v>
      </c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>
        <v>36800</v>
      </c>
      <c r="BC68" s="30"/>
      <c r="BD68" s="30">
        <f t="shared" si="10"/>
        <v>36800</v>
      </c>
      <c r="BE68" s="30"/>
      <c r="BF68" s="31"/>
      <c r="BG68" s="32"/>
      <c r="BH68" s="27"/>
      <c r="BI68" s="32"/>
      <c r="BJ68" s="32">
        <f t="shared" si="11"/>
        <v>36800</v>
      </c>
      <c r="BK68" s="32">
        <f t="shared" si="8"/>
        <v>0</v>
      </c>
      <c r="BL68" s="32"/>
      <c r="BM68" s="32"/>
      <c r="BN68" s="32">
        <f t="shared" ref="BN68:BN86" si="12">BJ68</f>
        <v>36800</v>
      </c>
      <c r="BO68" s="32"/>
      <c r="BP68" s="32"/>
      <c r="BQ68" s="32"/>
    </row>
    <row r="69" spans="1:69" x14ac:dyDescent="0.5">
      <c r="A69" s="27">
        <v>309</v>
      </c>
      <c r="B69" s="28" t="s">
        <v>17</v>
      </c>
      <c r="C69" s="29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>
        <v>28850</v>
      </c>
      <c r="BC69" s="30"/>
      <c r="BD69" s="30">
        <f t="shared" si="10"/>
        <v>28850</v>
      </c>
      <c r="BE69" s="30"/>
      <c r="BF69" s="31"/>
      <c r="BG69" s="32"/>
      <c r="BH69" s="27"/>
      <c r="BI69" s="32"/>
      <c r="BJ69" s="32">
        <f t="shared" si="11"/>
        <v>28850</v>
      </c>
      <c r="BK69" s="32">
        <f t="shared" si="8"/>
        <v>0</v>
      </c>
      <c r="BL69" s="32"/>
      <c r="BM69" s="32"/>
      <c r="BN69" s="32">
        <f t="shared" si="12"/>
        <v>28850</v>
      </c>
      <c r="BO69" s="32"/>
      <c r="BP69" s="32"/>
      <c r="BQ69" s="32"/>
    </row>
    <row r="70" spans="1:69" x14ac:dyDescent="0.5">
      <c r="A70" s="27">
        <v>319</v>
      </c>
      <c r="B70" s="28" t="s">
        <v>14</v>
      </c>
      <c r="C70" s="29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>
        <f>5335+100+2.29</f>
        <v>5437.29</v>
      </c>
      <c r="BC70" s="30">
        <v>505</v>
      </c>
      <c r="BD70" s="30">
        <f t="shared" si="10"/>
        <v>4932.29</v>
      </c>
      <c r="BE70" s="30"/>
      <c r="BF70" s="31">
        <v>15</v>
      </c>
      <c r="BG70" s="32">
        <v>40</v>
      </c>
      <c r="BH70" s="27"/>
      <c r="BI70" s="32"/>
      <c r="BJ70" s="32">
        <f t="shared" si="11"/>
        <v>4972.29</v>
      </c>
      <c r="BK70" s="32"/>
      <c r="BL70" s="32"/>
      <c r="BM70" s="32"/>
      <c r="BN70" s="32">
        <f t="shared" si="12"/>
        <v>4972.29</v>
      </c>
      <c r="BO70" s="32"/>
      <c r="BP70" s="32"/>
      <c r="BQ70" s="32"/>
    </row>
    <row r="71" spans="1:69" x14ac:dyDescent="0.5">
      <c r="A71" s="27">
        <v>345</v>
      </c>
      <c r="B71" s="28" t="s">
        <v>72</v>
      </c>
      <c r="C71" s="29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>
        <v>425</v>
      </c>
      <c r="BC71" s="30"/>
      <c r="BD71" s="30">
        <f t="shared" si="10"/>
        <v>425</v>
      </c>
      <c r="BE71" s="30"/>
      <c r="BF71" s="31"/>
      <c r="BG71" s="32"/>
      <c r="BH71" s="27"/>
      <c r="BI71" s="32"/>
      <c r="BJ71" s="32">
        <f t="shared" si="11"/>
        <v>425</v>
      </c>
      <c r="BK71" s="32">
        <f t="shared" si="8"/>
        <v>0</v>
      </c>
      <c r="BL71" s="32"/>
      <c r="BM71" s="32"/>
      <c r="BN71" s="32">
        <f t="shared" si="12"/>
        <v>425</v>
      </c>
      <c r="BO71" s="32"/>
      <c r="BP71" s="32"/>
      <c r="BQ71" s="32"/>
    </row>
    <row r="72" spans="1:69" x14ac:dyDescent="0.5">
      <c r="A72" s="27">
        <v>325</v>
      </c>
      <c r="B72" s="28" t="s">
        <v>73</v>
      </c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>
        <v>3000</v>
      </c>
      <c r="BC72" s="30"/>
      <c r="BD72" s="30">
        <f t="shared" si="10"/>
        <v>3000</v>
      </c>
      <c r="BE72" s="30"/>
      <c r="BF72" s="31"/>
      <c r="BG72" s="32"/>
      <c r="BH72" s="27"/>
      <c r="BI72" s="32"/>
      <c r="BJ72" s="32">
        <f t="shared" si="11"/>
        <v>3000</v>
      </c>
      <c r="BK72" s="32">
        <f t="shared" si="8"/>
        <v>0</v>
      </c>
      <c r="BL72" s="32"/>
      <c r="BM72" s="32"/>
      <c r="BN72" s="32">
        <f t="shared" si="12"/>
        <v>3000</v>
      </c>
      <c r="BO72" s="32"/>
      <c r="BP72" s="32"/>
      <c r="BQ72" s="32"/>
    </row>
    <row r="73" spans="1:69" x14ac:dyDescent="0.5">
      <c r="A73" s="27">
        <v>327</v>
      </c>
      <c r="B73" s="28" t="s">
        <v>15</v>
      </c>
      <c r="C73" s="2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>
        <v>1167</v>
      </c>
      <c r="BC73" s="30"/>
      <c r="BD73" s="30">
        <f t="shared" si="10"/>
        <v>1167</v>
      </c>
      <c r="BE73" s="30"/>
      <c r="BF73" s="31"/>
      <c r="BG73" s="32"/>
      <c r="BH73" s="27"/>
      <c r="BI73" s="32"/>
      <c r="BJ73" s="32">
        <f t="shared" si="11"/>
        <v>1167</v>
      </c>
      <c r="BK73" s="32">
        <f t="shared" si="8"/>
        <v>0</v>
      </c>
      <c r="BL73" s="32"/>
      <c r="BM73" s="32"/>
      <c r="BN73" s="32">
        <f t="shared" si="12"/>
        <v>1167</v>
      </c>
      <c r="BO73" s="32"/>
      <c r="BP73" s="32"/>
      <c r="BQ73" s="32"/>
    </row>
    <row r="74" spans="1:69" x14ac:dyDescent="0.5">
      <c r="A74" s="27">
        <v>329</v>
      </c>
      <c r="B74" s="28" t="s">
        <v>74</v>
      </c>
      <c r="C74" s="29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>
        <v>34.659999999999997</v>
      </c>
      <c r="BC74" s="30"/>
      <c r="BD74" s="30">
        <f t="shared" si="10"/>
        <v>34.659999999999997</v>
      </c>
      <c r="BE74" s="30"/>
      <c r="BF74" s="31"/>
      <c r="BG74" s="32"/>
      <c r="BH74" s="27"/>
      <c r="BI74" s="32"/>
      <c r="BJ74" s="32">
        <f t="shared" si="11"/>
        <v>34.659999999999997</v>
      </c>
      <c r="BK74" s="32">
        <f t="shared" si="8"/>
        <v>0</v>
      </c>
      <c r="BL74" s="32"/>
      <c r="BM74" s="32"/>
      <c r="BN74" s="32">
        <f t="shared" si="12"/>
        <v>34.659999999999997</v>
      </c>
      <c r="BO74" s="32"/>
      <c r="BP74" s="32"/>
      <c r="BQ74" s="32"/>
    </row>
    <row r="75" spans="1:69" x14ac:dyDescent="0.5">
      <c r="A75" s="27">
        <v>331</v>
      </c>
      <c r="B75" s="28" t="s">
        <v>75</v>
      </c>
      <c r="C75" s="29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>
        <v>4146.5</v>
      </c>
      <c r="BC75" s="30"/>
      <c r="BD75" s="30">
        <f t="shared" si="10"/>
        <v>4146.5</v>
      </c>
      <c r="BE75" s="30"/>
      <c r="BF75" s="31"/>
      <c r="BG75" s="32"/>
      <c r="BH75" s="50" t="s">
        <v>106</v>
      </c>
      <c r="BI75" s="32">
        <f>1105.5+737</f>
        <v>1842.5</v>
      </c>
      <c r="BJ75" s="32">
        <f t="shared" si="11"/>
        <v>2304</v>
      </c>
      <c r="BK75" s="32"/>
      <c r="BL75" s="32"/>
      <c r="BM75" s="32"/>
      <c r="BN75" s="32">
        <f t="shared" si="12"/>
        <v>2304</v>
      </c>
      <c r="BO75" s="32"/>
      <c r="BP75" s="32"/>
      <c r="BQ75" s="32"/>
    </row>
    <row r="76" spans="1:69" x14ac:dyDescent="0.5">
      <c r="A76" s="27">
        <v>333</v>
      </c>
      <c r="B76" s="28" t="s">
        <v>24</v>
      </c>
      <c r="C76" s="29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>
        <v>1551</v>
      </c>
      <c r="BC76" s="30"/>
      <c r="BD76" s="30">
        <f t="shared" si="10"/>
        <v>1551</v>
      </c>
      <c r="BE76" s="30"/>
      <c r="BF76" s="31"/>
      <c r="BG76" s="32"/>
      <c r="BH76" s="27"/>
      <c r="BI76" s="32"/>
      <c r="BJ76" s="32">
        <f t="shared" si="11"/>
        <v>1551</v>
      </c>
      <c r="BK76" s="32">
        <f t="shared" si="8"/>
        <v>0</v>
      </c>
      <c r="BL76" s="32"/>
      <c r="BM76" s="32"/>
      <c r="BN76" s="32">
        <f t="shared" si="12"/>
        <v>1551</v>
      </c>
      <c r="BO76" s="32"/>
      <c r="BP76" s="32"/>
      <c r="BQ76" s="32"/>
    </row>
    <row r="77" spans="1:69" x14ac:dyDescent="0.5">
      <c r="A77" s="27">
        <v>335</v>
      </c>
      <c r="B77" s="28" t="s">
        <v>16</v>
      </c>
      <c r="C77" s="29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>
        <v>13488.48</v>
      </c>
      <c r="BC77" s="30"/>
      <c r="BD77" s="30">
        <f t="shared" si="10"/>
        <v>13488.48</v>
      </c>
      <c r="BE77" s="30"/>
      <c r="BF77" s="31"/>
      <c r="BG77" s="32"/>
      <c r="BH77" s="27"/>
      <c r="BI77" s="32"/>
      <c r="BJ77" s="32">
        <f t="shared" si="11"/>
        <v>13488.48</v>
      </c>
      <c r="BK77" s="32">
        <v>0</v>
      </c>
      <c r="BL77" s="32"/>
      <c r="BM77" s="32"/>
      <c r="BN77" s="32">
        <f t="shared" si="12"/>
        <v>13488.48</v>
      </c>
      <c r="BO77" s="32"/>
      <c r="BP77" s="32"/>
      <c r="BQ77" s="32"/>
    </row>
    <row r="78" spans="1:69" x14ac:dyDescent="0.5">
      <c r="A78" s="27"/>
      <c r="B78" s="28" t="s">
        <v>128</v>
      </c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>
        <v>0</v>
      </c>
      <c r="BC78" s="30"/>
      <c r="BD78" s="30">
        <f>D78+BB78-BC78</f>
        <v>0</v>
      </c>
      <c r="BE78" s="30"/>
      <c r="BF78" s="31">
        <v>20</v>
      </c>
      <c r="BG78" s="32">
        <v>66277</v>
      </c>
      <c r="BH78" s="27"/>
      <c r="BI78" s="32"/>
      <c r="BJ78" s="32">
        <f>BD78+BG78-BI78</f>
        <v>66277</v>
      </c>
      <c r="BK78" s="32">
        <v>0</v>
      </c>
      <c r="BL78" s="32"/>
      <c r="BM78" s="32"/>
      <c r="BN78" s="32">
        <f>BJ78</f>
        <v>66277</v>
      </c>
      <c r="BO78" s="32"/>
      <c r="BP78" s="32"/>
      <c r="BQ78" s="32"/>
    </row>
    <row r="79" spans="1:69" x14ac:dyDescent="0.5">
      <c r="A79" s="27"/>
      <c r="B79" s="28" t="s">
        <v>129</v>
      </c>
      <c r="C79" s="29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>
        <v>0</v>
      </c>
      <c r="BC79" s="30"/>
      <c r="BD79" s="30">
        <f>D79+BB79-BC79</f>
        <v>0</v>
      </c>
      <c r="BE79" s="30"/>
      <c r="BF79" s="31">
        <v>19</v>
      </c>
      <c r="BG79" s="32">
        <v>5962.31</v>
      </c>
      <c r="BH79" s="27"/>
      <c r="BI79" s="32"/>
      <c r="BJ79" s="32">
        <f>BD79+BG79-BI79</f>
        <v>5962.31</v>
      </c>
      <c r="BK79" s="32">
        <v>0</v>
      </c>
      <c r="BL79" s="32"/>
      <c r="BM79" s="32"/>
      <c r="BN79" s="32">
        <f>BJ79</f>
        <v>5962.31</v>
      </c>
      <c r="BO79" s="32"/>
      <c r="BP79" s="32"/>
      <c r="BQ79" s="32"/>
    </row>
    <row r="80" spans="1:69" x14ac:dyDescent="0.5">
      <c r="A80" s="27"/>
      <c r="B80" s="28" t="s">
        <v>130</v>
      </c>
      <c r="C80" s="29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>
        <v>0</v>
      </c>
      <c r="BC80" s="30"/>
      <c r="BD80" s="30">
        <f>D80+BB80-BC80</f>
        <v>0</v>
      </c>
      <c r="BE80" s="30"/>
      <c r="BF80" s="31">
        <v>21</v>
      </c>
      <c r="BG80" s="32">
        <v>135892</v>
      </c>
      <c r="BH80" s="27"/>
      <c r="BI80" s="32"/>
      <c r="BJ80" s="32">
        <f>BD80+BG80-BI80</f>
        <v>135892</v>
      </c>
      <c r="BK80" s="32">
        <v>0</v>
      </c>
      <c r="BL80" s="32"/>
      <c r="BM80" s="32"/>
      <c r="BN80" s="32">
        <v>135892</v>
      </c>
      <c r="BO80" s="32"/>
      <c r="BP80" s="32"/>
      <c r="BQ80" s="32"/>
    </row>
    <row r="81" spans="1:70" x14ac:dyDescent="0.5">
      <c r="A81" s="27"/>
      <c r="B81" s="28" t="s">
        <v>131</v>
      </c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>
        <v>0</v>
      </c>
      <c r="BC81" s="30"/>
      <c r="BD81" s="30">
        <f>D81+BB81-BC81</f>
        <v>0</v>
      </c>
      <c r="BE81" s="30"/>
      <c r="BF81" s="31">
        <v>18</v>
      </c>
      <c r="BG81" s="32">
        <v>13912.04</v>
      </c>
      <c r="BH81" s="27"/>
      <c r="BI81" s="32"/>
      <c r="BJ81" s="32">
        <f>BD81+BG81-BI81</f>
        <v>13912.04</v>
      </c>
      <c r="BK81" s="32">
        <v>0</v>
      </c>
      <c r="BL81" s="32"/>
      <c r="BM81" s="32"/>
      <c r="BN81" s="32">
        <v>13912.04</v>
      </c>
      <c r="BO81" s="32"/>
      <c r="BP81" s="32"/>
      <c r="BQ81" s="32"/>
    </row>
    <row r="82" spans="1:70" x14ac:dyDescent="0.5">
      <c r="A82" s="27">
        <v>339</v>
      </c>
      <c r="B82" s="28" t="s">
        <v>25</v>
      </c>
      <c r="C82" s="29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>
        <v>36387.5</v>
      </c>
      <c r="BC82" s="30"/>
      <c r="BD82" s="30">
        <f t="shared" si="10"/>
        <v>36387.5</v>
      </c>
      <c r="BE82" s="30"/>
      <c r="BF82" s="31"/>
      <c r="BG82" s="32"/>
      <c r="BH82" s="50" t="s">
        <v>106</v>
      </c>
      <c r="BI82" s="32">
        <f>21004.5+14003</f>
        <v>35007.5</v>
      </c>
      <c r="BJ82" s="32">
        <f t="shared" si="11"/>
        <v>1380</v>
      </c>
      <c r="BK82" s="32"/>
      <c r="BL82" s="32"/>
      <c r="BM82" s="32"/>
      <c r="BN82" s="32">
        <f t="shared" si="12"/>
        <v>1380</v>
      </c>
      <c r="BO82" s="32"/>
      <c r="BP82" s="32"/>
      <c r="BQ82" s="32"/>
    </row>
    <row r="83" spans="1:70" x14ac:dyDescent="0.5">
      <c r="A83" s="27">
        <v>285</v>
      </c>
      <c r="B83" s="28" t="s">
        <v>86</v>
      </c>
      <c r="C83" s="29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>
        <v>490</v>
      </c>
      <c r="BC83" s="30"/>
      <c r="BD83" s="30">
        <f t="shared" si="10"/>
        <v>490</v>
      </c>
      <c r="BE83" s="30"/>
      <c r="BF83" s="31"/>
      <c r="BG83" s="32"/>
      <c r="BH83" s="27"/>
      <c r="BI83" s="32"/>
      <c r="BJ83" s="32">
        <f t="shared" si="11"/>
        <v>490</v>
      </c>
      <c r="BK83" s="32"/>
      <c r="BL83" s="32"/>
      <c r="BM83" s="32"/>
      <c r="BN83" s="32">
        <f t="shared" si="12"/>
        <v>490</v>
      </c>
      <c r="BO83" s="32"/>
      <c r="BP83" s="32"/>
      <c r="BQ83" s="32"/>
    </row>
    <row r="84" spans="1:70" x14ac:dyDescent="0.5">
      <c r="A84" s="27">
        <v>215</v>
      </c>
      <c r="B84" s="28" t="s">
        <v>97</v>
      </c>
      <c r="C84" s="29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>
        <v>800</v>
      </c>
      <c r="BC84" s="30"/>
      <c r="BD84" s="30">
        <f t="shared" si="10"/>
        <v>800</v>
      </c>
      <c r="BE84" s="30"/>
      <c r="BF84" s="31"/>
      <c r="BG84" s="32"/>
      <c r="BH84" s="27"/>
      <c r="BI84" s="32"/>
      <c r="BJ84" s="32">
        <f t="shared" si="11"/>
        <v>800</v>
      </c>
      <c r="BK84" s="32"/>
      <c r="BL84" s="32"/>
      <c r="BM84" s="32"/>
      <c r="BN84" s="32">
        <f t="shared" si="12"/>
        <v>800</v>
      </c>
      <c r="BO84" s="32"/>
      <c r="BP84" s="32"/>
      <c r="BQ84" s="32"/>
    </row>
    <row r="85" spans="1:70" x14ac:dyDescent="0.5">
      <c r="A85" s="27">
        <v>321</v>
      </c>
      <c r="B85" s="28" t="s">
        <v>87</v>
      </c>
      <c r="C85" s="29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>
        <v>110</v>
      </c>
      <c r="BC85" s="30"/>
      <c r="BD85" s="30">
        <f t="shared" si="10"/>
        <v>110</v>
      </c>
      <c r="BE85" s="30"/>
      <c r="BF85" s="31"/>
      <c r="BG85" s="32"/>
      <c r="BH85" s="27"/>
      <c r="BI85" s="32"/>
      <c r="BJ85" s="32">
        <f t="shared" si="11"/>
        <v>110</v>
      </c>
      <c r="BK85" s="32"/>
      <c r="BL85" s="32">
        <f>BJ85</f>
        <v>110</v>
      </c>
      <c r="BM85" s="32"/>
      <c r="BN85" s="32"/>
      <c r="BO85" s="32"/>
      <c r="BP85" s="32"/>
      <c r="BQ85" s="32"/>
    </row>
    <row r="86" spans="1:70" x14ac:dyDescent="0.5">
      <c r="A86" s="27">
        <v>349</v>
      </c>
      <c r="B86" s="28" t="s">
        <v>85</v>
      </c>
      <c r="C86" s="29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>
        <v>500</v>
      </c>
      <c r="BC86" s="30"/>
      <c r="BD86" s="30">
        <f t="shared" si="10"/>
        <v>500</v>
      </c>
      <c r="BE86" s="30"/>
      <c r="BF86" s="31"/>
      <c r="BG86" s="32"/>
      <c r="BH86" s="27"/>
      <c r="BI86" s="32"/>
      <c r="BJ86" s="32">
        <f t="shared" si="11"/>
        <v>500</v>
      </c>
      <c r="BK86" s="32"/>
      <c r="BL86" s="32"/>
      <c r="BM86" s="32"/>
      <c r="BN86" s="32">
        <f t="shared" si="12"/>
        <v>500</v>
      </c>
      <c r="BO86" s="32"/>
      <c r="BP86" s="32"/>
      <c r="BQ86" s="32"/>
    </row>
    <row r="87" spans="1:70" x14ac:dyDescent="0.5">
      <c r="A87" s="27"/>
      <c r="B87" s="28" t="s">
        <v>92</v>
      </c>
      <c r="C87" s="29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>
        <f>D87+BB87-BC87</f>
        <v>0</v>
      </c>
      <c r="BE87" s="30"/>
      <c r="BF87" s="31"/>
      <c r="BG87" s="32"/>
      <c r="BH87" s="27">
        <v>9</v>
      </c>
      <c r="BI87" s="32">
        <v>91565.73</v>
      </c>
      <c r="BJ87" s="32"/>
      <c r="BK87" s="32">
        <f>BI87</f>
        <v>91565.73</v>
      </c>
      <c r="BL87" s="32"/>
      <c r="BM87" s="32"/>
      <c r="BN87" s="32">
        <f>BJ87</f>
        <v>0</v>
      </c>
      <c r="BO87" s="32">
        <f>BK87</f>
        <v>91565.73</v>
      </c>
      <c r="BP87" s="32"/>
      <c r="BQ87" s="32"/>
    </row>
    <row r="88" spans="1:70" x14ac:dyDescent="0.5">
      <c r="A88" s="27"/>
      <c r="B88" s="28" t="s">
        <v>89</v>
      </c>
      <c r="C88" s="29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>
        <f t="shared" si="10"/>
        <v>0</v>
      </c>
      <c r="BE88" s="30"/>
      <c r="BF88" s="31"/>
      <c r="BG88" s="32"/>
      <c r="BH88" s="27">
        <v>3</v>
      </c>
      <c r="BI88" s="32">
        <v>36171.5</v>
      </c>
      <c r="BJ88" s="32"/>
      <c r="BK88" s="32">
        <f>BI88</f>
        <v>36171.5</v>
      </c>
      <c r="BL88" s="32"/>
      <c r="BM88" s="32"/>
      <c r="BN88" s="32">
        <f>BJ88</f>
        <v>0</v>
      </c>
      <c r="BO88" s="32">
        <f>BK88</f>
        <v>36171.5</v>
      </c>
      <c r="BP88" s="32"/>
      <c r="BQ88" s="32"/>
    </row>
    <row r="89" spans="1:70" x14ac:dyDescent="0.5">
      <c r="A89" s="27"/>
      <c r="B89" s="28" t="s">
        <v>90</v>
      </c>
      <c r="C89" s="29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1"/>
      <c r="BG89" s="32"/>
      <c r="BH89" s="27">
        <v>10</v>
      </c>
      <c r="BI89" s="32">
        <f>82916.1</f>
        <v>82916.100000000006</v>
      </c>
      <c r="BJ89" s="32"/>
      <c r="BK89" s="32">
        <f>BI89</f>
        <v>82916.100000000006</v>
      </c>
      <c r="BL89" s="32"/>
      <c r="BM89" s="32"/>
      <c r="BN89" s="32"/>
      <c r="BO89" s="32">
        <f>BK89</f>
        <v>82916.100000000006</v>
      </c>
      <c r="BP89" s="32"/>
      <c r="BQ89" s="32"/>
    </row>
    <row r="90" spans="1:70" x14ac:dyDescent="0.5">
      <c r="A90" s="27"/>
      <c r="B90" s="28" t="s">
        <v>91</v>
      </c>
      <c r="C90" s="2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1"/>
      <c r="BG90" s="32"/>
      <c r="BH90" s="27">
        <v>11</v>
      </c>
      <c r="BI90" s="32">
        <v>20533.11</v>
      </c>
      <c r="BJ90" s="32"/>
      <c r="BK90" s="32">
        <f>BI90</f>
        <v>20533.11</v>
      </c>
      <c r="BL90" s="32"/>
      <c r="BM90" s="32"/>
      <c r="BN90" s="32"/>
      <c r="BO90" s="32">
        <f>BK90</f>
        <v>20533.11</v>
      </c>
      <c r="BP90" s="32"/>
      <c r="BQ90" s="32"/>
    </row>
    <row r="91" spans="1:70" x14ac:dyDescent="0.5">
      <c r="A91" s="27"/>
      <c r="B91" s="28" t="s">
        <v>76</v>
      </c>
      <c r="C91" s="2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2"/>
      <c r="AY91" s="30"/>
      <c r="AZ91" s="30"/>
      <c r="BA91" s="30"/>
      <c r="BB91" s="30"/>
      <c r="BC91" s="30"/>
      <c r="BD91" s="30">
        <f t="shared" si="10"/>
        <v>0</v>
      </c>
      <c r="BE91" s="30"/>
      <c r="BF91" s="31">
        <v>4</v>
      </c>
      <c r="BG91" s="32">
        <v>7412</v>
      </c>
      <c r="BH91" s="27"/>
      <c r="BI91" s="32"/>
      <c r="BJ91" s="32">
        <f t="shared" si="11"/>
        <v>7412</v>
      </c>
      <c r="BK91" s="32"/>
      <c r="BL91" s="32"/>
      <c r="BM91" s="32"/>
      <c r="BN91" s="32">
        <f>BJ91</f>
        <v>7412</v>
      </c>
      <c r="BO91" s="32"/>
      <c r="BP91" s="32"/>
      <c r="BQ91" s="32"/>
    </row>
    <row r="92" spans="1:70" x14ac:dyDescent="0.5">
      <c r="A92" s="27"/>
      <c r="B92" s="28" t="s">
        <v>94</v>
      </c>
      <c r="C92" s="29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2"/>
      <c r="AY92" s="30"/>
      <c r="AZ92" s="30"/>
      <c r="BA92" s="30"/>
      <c r="BB92" s="30"/>
      <c r="BC92" s="30"/>
      <c r="BD92" s="30"/>
      <c r="BE92" s="30"/>
      <c r="BF92" s="31"/>
      <c r="BG92" s="32"/>
      <c r="BH92" s="27">
        <v>13</v>
      </c>
      <c r="BI92" s="32">
        <v>2978</v>
      </c>
      <c r="BJ92" s="32"/>
      <c r="BK92" s="32">
        <f>BI92</f>
        <v>2978</v>
      </c>
      <c r="BL92" s="32"/>
      <c r="BM92" s="32"/>
      <c r="BN92" s="32"/>
      <c r="BO92" s="32">
        <f>BI92</f>
        <v>2978</v>
      </c>
      <c r="BP92" s="32"/>
      <c r="BQ92" s="32"/>
    </row>
    <row r="93" spans="1:70" ht="18" customHeight="1" x14ac:dyDescent="0.5">
      <c r="A93" s="27"/>
      <c r="B93" s="28" t="s">
        <v>138</v>
      </c>
      <c r="C93" s="29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>
        <f t="shared" si="10"/>
        <v>0</v>
      </c>
      <c r="BE93" s="30"/>
      <c r="BF93" s="31"/>
      <c r="BG93" s="32"/>
      <c r="BH93" s="27"/>
      <c r="BI93" s="32"/>
      <c r="BJ93" s="32">
        <f t="shared" si="11"/>
        <v>0</v>
      </c>
      <c r="BK93" s="32"/>
      <c r="BL93" s="32"/>
      <c r="BM93" s="51">
        <v>6703</v>
      </c>
      <c r="BN93" s="32"/>
      <c r="BO93" s="32"/>
      <c r="BP93" s="32">
        <f>+BM93</f>
        <v>6703</v>
      </c>
      <c r="BQ93" s="32"/>
    </row>
    <row r="94" spans="1:70" x14ac:dyDescent="0.5">
      <c r="A94" s="27"/>
      <c r="B94" s="28" t="s">
        <v>11</v>
      </c>
      <c r="C94" s="29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1"/>
      <c r="BG94" s="32"/>
      <c r="BH94" s="27"/>
      <c r="BI94" s="32"/>
      <c r="BJ94" s="32"/>
      <c r="BK94" s="32"/>
      <c r="BL94" s="32"/>
      <c r="BM94" s="32">
        <v>282811</v>
      </c>
      <c r="BN94" s="32">
        <f>BM94</f>
        <v>282811</v>
      </c>
      <c r="BO94" s="32"/>
      <c r="BP94" s="32"/>
      <c r="BQ94" s="32"/>
    </row>
    <row r="95" spans="1:70" x14ac:dyDescent="0.5">
      <c r="A95" s="39"/>
      <c r="B95" s="40" t="s">
        <v>88</v>
      </c>
      <c r="C95" s="40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2"/>
      <c r="BG95" s="43"/>
      <c r="BH95" s="39"/>
      <c r="BI95" s="43"/>
      <c r="BJ95" s="43"/>
      <c r="BK95" s="43"/>
      <c r="BL95" s="43"/>
      <c r="BM95" s="43"/>
      <c r="BN95" s="43">
        <v>345819.67</v>
      </c>
      <c r="BO95" s="43"/>
      <c r="BP95" s="43"/>
      <c r="BQ95" s="43">
        <f>BN95</f>
        <v>345819.67</v>
      </c>
    </row>
    <row r="96" spans="1:70" ht="22.5" thickBot="1" x14ac:dyDescent="0.55000000000000004">
      <c r="A96" s="7"/>
      <c r="B96" s="8"/>
      <c r="C96" s="9"/>
      <c r="D96" s="10">
        <f t="shared" ref="D96:AI96" si="13">SUM(D10:D94)</f>
        <v>7963915.1299999999</v>
      </c>
      <c r="E96" s="10">
        <f t="shared" si="13"/>
        <v>7963915.129999999</v>
      </c>
      <c r="F96" s="10">
        <f t="shared" si="13"/>
        <v>0</v>
      </c>
      <c r="G96" s="10">
        <f t="shared" si="13"/>
        <v>0</v>
      </c>
      <c r="H96" s="10">
        <f t="shared" si="13"/>
        <v>0</v>
      </c>
      <c r="I96" s="10">
        <f t="shared" si="13"/>
        <v>0</v>
      </c>
      <c r="J96" s="10">
        <f t="shared" si="13"/>
        <v>0</v>
      </c>
      <c r="K96" s="10">
        <f t="shared" si="13"/>
        <v>0</v>
      </c>
      <c r="L96" s="10">
        <f t="shared" si="13"/>
        <v>0</v>
      </c>
      <c r="M96" s="10">
        <f t="shared" si="13"/>
        <v>0</v>
      </c>
      <c r="N96" s="10">
        <f t="shared" si="13"/>
        <v>0</v>
      </c>
      <c r="O96" s="10">
        <f t="shared" si="13"/>
        <v>0</v>
      </c>
      <c r="P96" s="10">
        <f t="shared" si="13"/>
        <v>0</v>
      </c>
      <c r="Q96" s="10">
        <f t="shared" si="13"/>
        <v>0</v>
      </c>
      <c r="R96" s="10">
        <f t="shared" si="13"/>
        <v>0</v>
      </c>
      <c r="S96" s="10">
        <f t="shared" si="13"/>
        <v>0</v>
      </c>
      <c r="T96" s="10">
        <f t="shared" si="13"/>
        <v>0</v>
      </c>
      <c r="U96" s="10">
        <f t="shared" si="13"/>
        <v>0</v>
      </c>
      <c r="V96" s="10">
        <f t="shared" si="13"/>
        <v>0</v>
      </c>
      <c r="W96" s="10">
        <f t="shared" si="13"/>
        <v>0</v>
      </c>
      <c r="X96" s="10">
        <f t="shared" si="13"/>
        <v>0</v>
      </c>
      <c r="Y96" s="10">
        <f t="shared" si="13"/>
        <v>0</v>
      </c>
      <c r="Z96" s="10">
        <f t="shared" si="13"/>
        <v>0</v>
      </c>
      <c r="AA96" s="10">
        <f t="shared" si="13"/>
        <v>0</v>
      </c>
      <c r="AB96" s="10">
        <f t="shared" si="13"/>
        <v>0</v>
      </c>
      <c r="AC96" s="10">
        <f t="shared" si="13"/>
        <v>0</v>
      </c>
      <c r="AD96" s="10">
        <f t="shared" si="13"/>
        <v>0</v>
      </c>
      <c r="AE96" s="10">
        <f t="shared" si="13"/>
        <v>0</v>
      </c>
      <c r="AF96" s="10">
        <f t="shared" si="13"/>
        <v>0</v>
      </c>
      <c r="AG96" s="10">
        <f t="shared" si="13"/>
        <v>0</v>
      </c>
      <c r="AH96" s="10">
        <f t="shared" si="13"/>
        <v>0</v>
      </c>
      <c r="AI96" s="10">
        <f t="shared" si="13"/>
        <v>0</v>
      </c>
      <c r="AJ96" s="10">
        <f t="shared" ref="AJ96:BE96" si="14">SUM(AJ10:AJ94)</f>
        <v>0</v>
      </c>
      <c r="AK96" s="10">
        <f t="shared" si="14"/>
        <v>0</v>
      </c>
      <c r="AL96" s="10">
        <f t="shared" si="14"/>
        <v>0</v>
      </c>
      <c r="AM96" s="10">
        <f t="shared" si="14"/>
        <v>0</v>
      </c>
      <c r="AN96" s="10">
        <f t="shared" si="14"/>
        <v>0</v>
      </c>
      <c r="AO96" s="10">
        <f t="shared" si="14"/>
        <v>0</v>
      </c>
      <c r="AP96" s="10">
        <f t="shared" si="14"/>
        <v>0</v>
      </c>
      <c r="AQ96" s="10">
        <f t="shared" si="14"/>
        <v>0</v>
      </c>
      <c r="AR96" s="10">
        <f t="shared" si="14"/>
        <v>0</v>
      </c>
      <c r="AS96" s="10">
        <f t="shared" si="14"/>
        <v>0</v>
      </c>
      <c r="AT96" s="10">
        <f t="shared" si="14"/>
        <v>0</v>
      </c>
      <c r="AU96" s="10">
        <f t="shared" si="14"/>
        <v>0</v>
      </c>
      <c r="AV96" s="10">
        <f t="shared" si="14"/>
        <v>0</v>
      </c>
      <c r="AW96" s="10">
        <f t="shared" si="14"/>
        <v>0</v>
      </c>
      <c r="AX96" s="10">
        <f t="shared" si="14"/>
        <v>0</v>
      </c>
      <c r="AY96" s="10">
        <f t="shared" si="14"/>
        <v>0</v>
      </c>
      <c r="AZ96" s="10">
        <f t="shared" si="14"/>
        <v>0</v>
      </c>
      <c r="BA96" s="10">
        <f t="shared" si="14"/>
        <v>0</v>
      </c>
      <c r="BB96" s="10">
        <f t="shared" si="14"/>
        <v>14311886.020000001</v>
      </c>
      <c r="BC96" s="10">
        <f t="shared" si="14"/>
        <v>14311886.020000003</v>
      </c>
      <c r="BD96" s="10">
        <f t="shared" si="14"/>
        <v>8767469.8999999985</v>
      </c>
      <c r="BE96" s="10">
        <f t="shared" si="14"/>
        <v>8767469.9000000004</v>
      </c>
      <c r="BF96" s="11"/>
      <c r="BG96" s="10">
        <f>SUM(BG10:BG95)</f>
        <v>867422.49000000011</v>
      </c>
      <c r="BH96" s="11"/>
      <c r="BI96" s="10">
        <f>SUM(BI10:BI95)</f>
        <v>867422.48999999987</v>
      </c>
      <c r="BJ96" s="10">
        <f>SUM(BJ10:BJ94)</f>
        <v>8901707.9699999988</v>
      </c>
      <c r="BK96" s="10">
        <f>SUM(BK10:BK94)</f>
        <v>8901707.9699999988</v>
      </c>
      <c r="BL96" s="10">
        <f>SUM(BL10:BL94)</f>
        <v>306994</v>
      </c>
      <c r="BM96" s="10">
        <f>SUM(BM10:BM94)</f>
        <v>306994</v>
      </c>
      <c r="BN96" s="10">
        <f>SUM(BN68:BN95)</f>
        <v>953848.45</v>
      </c>
      <c r="BO96" s="10">
        <f>SUM(BO10:BO94)</f>
        <v>953848.45</v>
      </c>
      <c r="BP96" s="10">
        <f>SUM(BP10:BP95)</f>
        <v>8276199.1899999995</v>
      </c>
      <c r="BQ96" s="10">
        <f>SUM(BQ10:BQ95)</f>
        <v>8276199.1899999995</v>
      </c>
      <c r="BR96" s="18"/>
    </row>
    <row r="97" spans="1:69" s="13" customFormat="1" ht="22.5" hidden="1" thickTop="1" x14ac:dyDescent="0.5">
      <c r="A97" s="12"/>
      <c r="AY97" s="6">
        <f>AX96-AY96</f>
        <v>0</v>
      </c>
      <c r="BF97" s="14"/>
      <c r="BH97" s="14"/>
    </row>
    <row r="98" spans="1:69" s="13" customFormat="1" ht="22.5" hidden="1" thickTop="1" x14ac:dyDescent="0.5">
      <c r="A98" s="12"/>
      <c r="BF98" s="14"/>
      <c r="BH98" s="14"/>
      <c r="BI98" s="6"/>
      <c r="BK98" s="6">
        <f>BJ96-BK96</f>
        <v>0</v>
      </c>
      <c r="BM98" s="6">
        <f>BL96-BM96</f>
        <v>0</v>
      </c>
      <c r="BO98" s="6">
        <f>BN96-BO96</f>
        <v>0</v>
      </c>
      <c r="BQ98" s="6">
        <f>BP96-BQ96</f>
        <v>0</v>
      </c>
    </row>
    <row r="99" spans="1:69" s="13" customFormat="1" ht="22.5" hidden="1" thickTop="1" x14ac:dyDescent="0.5">
      <c r="A99" s="12"/>
      <c r="BF99" s="14"/>
      <c r="BH99" s="14"/>
    </row>
    <row r="100" spans="1:69" s="13" customFormat="1" ht="22.5" hidden="1" thickTop="1" x14ac:dyDescent="0.5">
      <c r="A100" s="12"/>
      <c r="BF100" s="14"/>
      <c r="BH100" s="14"/>
    </row>
    <row r="101" spans="1:69" s="13" customFormat="1" ht="22.5" hidden="1" thickTop="1" x14ac:dyDescent="0.5">
      <c r="A101" s="12"/>
      <c r="BF101" s="14"/>
      <c r="BH101" s="14"/>
    </row>
    <row r="102" spans="1:69" s="13" customFormat="1" ht="22.5" hidden="1" thickTop="1" x14ac:dyDescent="0.5">
      <c r="A102" s="12"/>
      <c r="BF102" s="14"/>
      <c r="BH102" s="14"/>
    </row>
    <row r="103" spans="1:69" s="13" customFormat="1" ht="22.5" hidden="1" thickTop="1" x14ac:dyDescent="0.5">
      <c r="A103" s="12"/>
      <c r="BF103" s="14"/>
      <c r="BH103" s="14"/>
    </row>
    <row r="104" spans="1:69" s="13" customFormat="1" ht="22.5" hidden="1" thickTop="1" x14ac:dyDescent="0.5">
      <c r="A104" s="12"/>
      <c r="BF104" s="14"/>
      <c r="BH104" s="14"/>
    </row>
    <row r="105" spans="1:69" s="13" customFormat="1" ht="22.5" hidden="1" thickTop="1" x14ac:dyDescent="0.5">
      <c r="A105" s="12"/>
      <c r="BF105" s="14"/>
      <c r="BH105" s="14"/>
    </row>
    <row r="106" spans="1:69" s="13" customFormat="1" ht="22.5" hidden="1" thickTop="1" x14ac:dyDescent="0.5">
      <c r="A106" s="12"/>
      <c r="BF106" s="14"/>
      <c r="BH106" s="14"/>
    </row>
    <row r="107" spans="1:69" s="13" customFormat="1" ht="22.5" thickTop="1" x14ac:dyDescent="0.5">
      <c r="A107" s="12"/>
      <c r="BF107" s="14"/>
      <c r="BH107" s="14"/>
      <c r="BM107" s="15"/>
    </row>
    <row r="108" spans="1:69" s="13" customFormat="1" x14ac:dyDescent="0.5">
      <c r="A108" s="12"/>
      <c r="BF108" s="14"/>
      <c r="BH108" s="14"/>
      <c r="BI108" s="6">
        <f>SUM(BG96-BI96)</f>
        <v>2.3283064365386963E-10</v>
      </c>
      <c r="BK108" s="16">
        <f>BJ96-BK96</f>
        <v>0</v>
      </c>
      <c r="BO108" s="6">
        <f>BN96-BO96</f>
        <v>0</v>
      </c>
      <c r="BQ108" s="6">
        <f>BQ96-BP96</f>
        <v>0</v>
      </c>
    </row>
    <row r="109" spans="1:69" s="13" customFormat="1" x14ac:dyDescent="0.5">
      <c r="A109" s="12"/>
      <c r="BF109" s="14"/>
      <c r="BH109" s="14"/>
      <c r="BN109" s="13" t="s">
        <v>132</v>
      </c>
    </row>
    <row r="110" spans="1:69" s="13" customFormat="1" x14ac:dyDescent="0.5">
      <c r="A110" s="12"/>
      <c r="BF110" s="14"/>
      <c r="BH110" s="14"/>
      <c r="BN110" s="13" t="s">
        <v>133</v>
      </c>
    </row>
    <row r="111" spans="1:69" s="13" customFormat="1" x14ac:dyDescent="0.5">
      <c r="A111" s="12"/>
      <c r="BF111" s="14"/>
      <c r="BH111" s="14"/>
      <c r="BN111" s="13" t="s">
        <v>134</v>
      </c>
    </row>
    <row r="112" spans="1:69" s="13" customFormat="1" x14ac:dyDescent="0.5">
      <c r="A112" s="12"/>
      <c r="D112" s="16">
        <f>+D96-E96</f>
        <v>0</v>
      </c>
      <c r="E112" s="16"/>
      <c r="F112" s="16">
        <f t="shared" ref="F112:BL112" si="15">+F96-G96</f>
        <v>0</v>
      </c>
      <c r="G112" s="16">
        <f t="shared" si="15"/>
        <v>0</v>
      </c>
      <c r="H112" s="16">
        <f t="shared" si="15"/>
        <v>0</v>
      </c>
      <c r="I112" s="16">
        <f t="shared" si="15"/>
        <v>0</v>
      </c>
      <c r="J112" s="16">
        <f t="shared" si="15"/>
        <v>0</v>
      </c>
      <c r="K112" s="16">
        <f t="shared" si="15"/>
        <v>0</v>
      </c>
      <c r="L112" s="16">
        <f t="shared" si="15"/>
        <v>0</v>
      </c>
      <c r="M112" s="16">
        <f t="shared" si="15"/>
        <v>0</v>
      </c>
      <c r="N112" s="16">
        <f t="shared" si="15"/>
        <v>0</v>
      </c>
      <c r="O112" s="16">
        <f t="shared" si="15"/>
        <v>0</v>
      </c>
      <c r="P112" s="16">
        <f t="shared" si="15"/>
        <v>0</v>
      </c>
      <c r="Q112" s="16">
        <f t="shared" si="15"/>
        <v>0</v>
      </c>
      <c r="R112" s="16">
        <f t="shared" si="15"/>
        <v>0</v>
      </c>
      <c r="S112" s="16">
        <f t="shared" si="15"/>
        <v>0</v>
      </c>
      <c r="T112" s="16">
        <f t="shared" si="15"/>
        <v>0</v>
      </c>
      <c r="U112" s="16">
        <f t="shared" si="15"/>
        <v>0</v>
      </c>
      <c r="V112" s="16">
        <f t="shared" si="15"/>
        <v>0</v>
      </c>
      <c r="W112" s="16">
        <f t="shared" si="15"/>
        <v>0</v>
      </c>
      <c r="X112" s="16">
        <f t="shared" si="15"/>
        <v>0</v>
      </c>
      <c r="Y112" s="16">
        <f t="shared" si="15"/>
        <v>0</v>
      </c>
      <c r="Z112" s="16">
        <f t="shared" si="15"/>
        <v>0</v>
      </c>
      <c r="AA112" s="16">
        <f t="shared" si="15"/>
        <v>0</v>
      </c>
      <c r="AB112" s="16">
        <f t="shared" si="15"/>
        <v>0</v>
      </c>
      <c r="AC112" s="16">
        <f t="shared" si="15"/>
        <v>0</v>
      </c>
      <c r="AD112" s="16">
        <f t="shared" si="15"/>
        <v>0</v>
      </c>
      <c r="AE112" s="16">
        <f t="shared" si="15"/>
        <v>0</v>
      </c>
      <c r="AF112" s="16">
        <f t="shared" si="15"/>
        <v>0</v>
      </c>
      <c r="AG112" s="16">
        <f t="shared" si="15"/>
        <v>0</v>
      </c>
      <c r="AH112" s="16">
        <f t="shared" si="15"/>
        <v>0</v>
      </c>
      <c r="AI112" s="16">
        <f t="shared" si="15"/>
        <v>0</v>
      </c>
      <c r="AJ112" s="16">
        <f t="shared" si="15"/>
        <v>0</v>
      </c>
      <c r="AK112" s="16">
        <f t="shared" si="15"/>
        <v>0</v>
      </c>
      <c r="AL112" s="16">
        <f t="shared" si="15"/>
        <v>0</v>
      </c>
      <c r="AM112" s="16">
        <f t="shared" si="15"/>
        <v>0</v>
      </c>
      <c r="AN112" s="16">
        <f t="shared" si="15"/>
        <v>0</v>
      </c>
      <c r="AO112" s="16">
        <f t="shared" si="15"/>
        <v>0</v>
      </c>
      <c r="AP112" s="16">
        <f t="shared" si="15"/>
        <v>0</v>
      </c>
      <c r="AQ112" s="16">
        <f t="shared" si="15"/>
        <v>0</v>
      </c>
      <c r="AR112" s="16">
        <f t="shared" si="15"/>
        <v>0</v>
      </c>
      <c r="AS112" s="16">
        <f t="shared" si="15"/>
        <v>0</v>
      </c>
      <c r="AT112" s="16">
        <f t="shared" si="15"/>
        <v>0</v>
      </c>
      <c r="AU112" s="16">
        <f t="shared" si="15"/>
        <v>0</v>
      </c>
      <c r="AV112" s="16">
        <f t="shared" si="15"/>
        <v>0</v>
      </c>
      <c r="AW112" s="16">
        <f t="shared" si="15"/>
        <v>0</v>
      </c>
      <c r="AX112" s="16">
        <f t="shared" si="15"/>
        <v>0</v>
      </c>
      <c r="AY112" s="16">
        <f t="shared" si="15"/>
        <v>0</v>
      </c>
      <c r="AZ112" s="16">
        <f t="shared" si="15"/>
        <v>0</v>
      </c>
      <c r="BA112" s="16">
        <f t="shared" si="15"/>
        <v>-14311886.020000001</v>
      </c>
      <c r="BB112" s="16">
        <f>+BB96-BC96</f>
        <v>0</v>
      </c>
      <c r="BC112" s="16"/>
      <c r="BD112" s="16">
        <f t="shared" si="15"/>
        <v>0</v>
      </c>
      <c r="BE112" s="16"/>
      <c r="BF112" s="16"/>
      <c r="BG112" s="16"/>
      <c r="BH112" s="16"/>
      <c r="BI112" s="16"/>
      <c r="BJ112" s="16"/>
      <c r="BK112" s="16"/>
      <c r="BL112" s="16">
        <f t="shared" si="15"/>
        <v>0</v>
      </c>
      <c r="BM112" s="16"/>
      <c r="BN112" s="16"/>
      <c r="BO112" s="16"/>
      <c r="BP112" s="16"/>
      <c r="BQ112" s="16"/>
    </row>
    <row r="113" spans="1:60" s="13" customFormat="1" x14ac:dyDescent="0.5">
      <c r="A113" s="12"/>
      <c r="BF113" s="14"/>
      <c r="BH113" s="14"/>
    </row>
    <row r="114" spans="1:60" s="13" customFormat="1" x14ac:dyDescent="0.5">
      <c r="A114" s="12"/>
      <c r="BF114" s="14"/>
      <c r="BH114" s="14"/>
    </row>
    <row r="115" spans="1:60" s="13" customFormat="1" x14ac:dyDescent="0.5">
      <c r="A115" s="12"/>
      <c r="BF115" s="14"/>
      <c r="BH115" s="14"/>
    </row>
    <row r="116" spans="1:60" s="13" customFormat="1" x14ac:dyDescent="0.5">
      <c r="A116" s="12"/>
      <c r="BF116" s="14"/>
      <c r="BH116" s="14"/>
    </row>
    <row r="117" spans="1:60" s="13" customFormat="1" x14ac:dyDescent="0.5">
      <c r="A117" s="12"/>
      <c r="BF117" s="14"/>
      <c r="BH117" s="14"/>
    </row>
    <row r="118" spans="1:60" s="13" customFormat="1" x14ac:dyDescent="0.5">
      <c r="A118" s="12"/>
      <c r="BF118" s="14"/>
      <c r="BH118" s="14"/>
    </row>
    <row r="119" spans="1:60" s="13" customFormat="1" x14ac:dyDescent="0.5">
      <c r="A119" s="12"/>
      <c r="BF119" s="14"/>
      <c r="BH119" s="14"/>
    </row>
    <row r="120" spans="1:60" s="13" customFormat="1" x14ac:dyDescent="0.5">
      <c r="A120" s="12"/>
      <c r="BF120" s="14"/>
      <c r="BH120" s="14"/>
    </row>
    <row r="121" spans="1:60" s="13" customFormat="1" x14ac:dyDescent="0.5">
      <c r="A121" s="12"/>
      <c r="BF121" s="14"/>
      <c r="BH121" s="14"/>
    </row>
    <row r="122" spans="1:60" s="13" customFormat="1" x14ac:dyDescent="0.5">
      <c r="A122" s="12"/>
      <c r="BF122" s="14"/>
      <c r="BH122" s="14"/>
    </row>
    <row r="123" spans="1:60" s="13" customFormat="1" x14ac:dyDescent="0.5">
      <c r="A123" s="12"/>
      <c r="BF123" s="14"/>
      <c r="BH123" s="14"/>
    </row>
    <row r="124" spans="1:60" s="13" customFormat="1" x14ac:dyDescent="0.5">
      <c r="A124" s="12"/>
      <c r="BF124" s="14"/>
      <c r="BH124" s="14"/>
    </row>
    <row r="125" spans="1:60" s="13" customFormat="1" x14ac:dyDescent="0.5">
      <c r="A125" s="12"/>
      <c r="BF125" s="14"/>
      <c r="BH125" s="14"/>
    </row>
    <row r="126" spans="1:60" s="13" customFormat="1" x14ac:dyDescent="0.5">
      <c r="A126" s="12"/>
      <c r="BF126" s="14"/>
      <c r="BH126" s="14"/>
    </row>
    <row r="127" spans="1:60" s="13" customFormat="1" x14ac:dyDescent="0.5">
      <c r="A127" s="12"/>
      <c r="BF127" s="14"/>
      <c r="BH127" s="14"/>
    </row>
    <row r="128" spans="1:60" s="13" customFormat="1" x14ac:dyDescent="0.5">
      <c r="A128" s="12"/>
      <c r="BF128" s="14"/>
      <c r="BH128" s="14"/>
    </row>
    <row r="129" spans="1:60" s="13" customFormat="1" x14ac:dyDescent="0.5">
      <c r="A129" s="12"/>
      <c r="BF129" s="14"/>
      <c r="BH129" s="14"/>
    </row>
    <row r="130" spans="1:60" s="13" customFormat="1" x14ac:dyDescent="0.5">
      <c r="A130" s="12"/>
      <c r="BF130" s="14"/>
      <c r="BH130" s="14"/>
    </row>
    <row r="131" spans="1:60" s="13" customFormat="1" x14ac:dyDescent="0.5">
      <c r="A131" s="12"/>
      <c r="BF131" s="14"/>
      <c r="BH131" s="14"/>
    </row>
    <row r="132" spans="1:60" s="13" customFormat="1" x14ac:dyDescent="0.5">
      <c r="A132" s="12"/>
      <c r="BF132" s="14"/>
      <c r="BH132" s="14"/>
    </row>
    <row r="133" spans="1:60" s="13" customFormat="1" x14ac:dyDescent="0.5">
      <c r="A133" s="12"/>
      <c r="BF133" s="14"/>
      <c r="BH133" s="14"/>
    </row>
    <row r="134" spans="1:60" s="13" customFormat="1" x14ac:dyDescent="0.5">
      <c r="A134" s="12"/>
      <c r="BF134" s="14"/>
      <c r="BH134" s="14"/>
    </row>
    <row r="135" spans="1:60" s="13" customFormat="1" x14ac:dyDescent="0.5">
      <c r="A135" s="12"/>
      <c r="BF135" s="14"/>
      <c r="BH135" s="14"/>
    </row>
    <row r="136" spans="1:60" s="13" customFormat="1" x14ac:dyDescent="0.5">
      <c r="A136" s="12"/>
      <c r="BF136" s="14"/>
      <c r="BH136" s="14"/>
    </row>
    <row r="137" spans="1:60" s="13" customFormat="1" x14ac:dyDescent="0.5">
      <c r="A137" s="12"/>
      <c r="BF137" s="14"/>
      <c r="BH137" s="14"/>
    </row>
    <row r="138" spans="1:60" s="13" customFormat="1" x14ac:dyDescent="0.5">
      <c r="A138" s="12"/>
      <c r="BF138" s="14"/>
      <c r="BH138" s="14"/>
    </row>
    <row r="139" spans="1:60" s="13" customFormat="1" x14ac:dyDescent="0.5">
      <c r="A139" s="12"/>
      <c r="BF139" s="14"/>
      <c r="BH139" s="14"/>
    </row>
    <row r="140" spans="1:60" s="13" customFormat="1" x14ac:dyDescent="0.5">
      <c r="A140" s="12"/>
      <c r="BF140" s="14"/>
      <c r="BH140" s="14"/>
    </row>
    <row r="141" spans="1:60" s="13" customFormat="1" x14ac:dyDescent="0.5">
      <c r="A141" s="12"/>
      <c r="BF141" s="14"/>
      <c r="BH141" s="14"/>
    </row>
    <row r="142" spans="1:60" s="13" customFormat="1" x14ac:dyDescent="0.5">
      <c r="A142" s="12"/>
      <c r="BF142" s="14"/>
      <c r="BH142" s="14"/>
    </row>
    <row r="143" spans="1:60" s="13" customFormat="1" x14ac:dyDescent="0.5">
      <c r="A143" s="12"/>
      <c r="BF143" s="14"/>
      <c r="BH143" s="14"/>
    </row>
    <row r="144" spans="1:60" s="13" customFormat="1" x14ac:dyDescent="0.5">
      <c r="A144" s="12"/>
      <c r="BF144" s="14"/>
      <c r="BH144" s="14"/>
    </row>
    <row r="145" spans="1:60" s="13" customFormat="1" x14ac:dyDescent="0.5">
      <c r="A145" s="12"/>
      <c r="BF145" s="14"/>
      <c r="BH145" s="14"/>
    </row>
    <row r="146" spans="1:60" s="13" customFormat="1" x14ac:dyDescent="0.5">
      <c r="A146" s="12"/>
      <c r="BF146" s="14"/>
      <c r="BH146" s="14"/>
    </row>
    <row r="147" spans="1:60" s="13" customFormat="1" x14ac:dyDescent="0.5">
      <c r="A147" s="12"/>
      <c r="BF147" s="14"/>
      <c r="BH147" s="14"/>
    </row>
    <row r="148" spans="1:60" s="13" customFormat="1" x14ac:dyDescent="0.5">
      <c r="A148" s="12"/>
      <c r="BF148" s="14"/>
      <c r="BH148" s="14"/>
    </row>
    <row r="149" spans="1:60" s="13" customFormat="1" x14ac:dyDescent="0.5">
      <c r="A149" s="12"/>
      <c r="BF149" s="14"/>
      <c r="BH149" s="14"/>
    </row>
    <row r="150" spans="1:60" s="13" customFormat="1" x14ac:dyDescent="0.5">
      <c r="A150" s="12"/>
      <c r="BF150" s="14"/>
      <c r="BH150" s="14"/>
    </row>
    <row r="151" spans="1:60" s="13" customFormat="1" x14ac:dyDescent="0.5">
      <c r="A151" s="12"/>
      <c r="BF151" s="14"/>
      <c r="BH151" s="14"/>
    </row>
    <row r="152" spans="1:60" s="13" customFormat="1" x14ac:dyDescent="0.5">
      <c r="A152" s="12"/>
      <c r="BF152" s="14"/>
      <c r="BH152" s="14"/>
    </row>
    <row r="153" spans="1:60" s="13" customFormat="1" x14ac:dyDescent="0.5">
      <c r="A153" s="12"/>
      <c r="BF153" s="14"/>
      <c r="BH153" s="14"/>
    </row>
    <row r="154" spans="1:60" s="13" customFormat="1" x14ac:dyDescent="0.5">
      <c r="A154" s="12"/>
      <c r="BF154" s="14"/>
      <c r="BH154" s="14"/>
    </row>
    <row r="155" spans="1:60" s="13" customFormat="1" x14ac:dyDescent="0.5">
      <c r="A155" s="12"/>
      <c r="BF155" s="14"/>
      <c r="BH155" s="14"/>
    </row>
    <row r="156" spans="1:60" s="13" customFormat="1" x14ac:dyDescent="0.5">
      <c r="A156" s="12"/>
      <c r="BF156" s="14"/>
      <c r="BH156" s="14"/>
    </row>
    <row r="157" spans="1:60" s="13" customFormat="1" x14ac:dyDescent="0.5">
      <c r="A157" s="12"/>
      <c r="BF157" s="14"/>
      <c r="BH157" s="14"/>
    </row>
  </sheetData>
  <mergeCells count="38">
    <mergeCell ref="BJ7:BK8"/>
    <mergeCell ref="BL7:BM8"/>
    <mergeCell ref="BN7:BO8"/>
    <mergeCell ref="BP7:BQ8"/>
    <mergeCell ref="AV7:AW8"/>
    <mergeCell ref="AX7:AY8"/>
    <mergeCell ref="AZ7:BA8"/>
    <mergeCell ref="BB7:BC8"/>
    <mergeCell ref="BD7:BE8"/>
    <mergeCell ref="BF7:BI8"/>
    <mergeCell ref="AT7:AU8"/>
    <mergeCell ref="X7:Y8"/>
    <mergeCell ref="Z7:AA8"/>
    <mergeCell ref="AB7:AC8"/>
    <mergeCell ref="AD7:AE8"/>
    <mergeCell ref="AF7:AG8"/>
    <mergeCell ref="AH7:AI8"/>
    <mergeCell ref="AJ7:AK8"/>
    <mergeCell ref="AL7:AM8"/>
    <mergeCell ref="AN7:AO8"/>
    <mergeCell ref="AP7:AQ8"/>
    <mergeCell ref="AR7:AS8"/>
    <mergeCell ref="V7:W8"/>
    <mergeCell ref="A4:BE4"/>
    <mergeCell ref="A5:BE5"/>
    <mergeCell ref="A6:BE6"/>
    <mergeCell ref="A7:A8"/>
    <mergeCell ref="B7:B9"/>
    <mergeCell ref="C7:C9"/>
    <mergeCell ref="D7:E8"/>
    <mergeCell ref="F7:G8"/>
    <mergeCell ref="H7:I8"/>
    <mergeCell ref="J7:K8"/>
    <mergeCell ref="L7:M8"/>
    <mergeCell ref="N7:O8"/>
    <mergeCell ref="P7:Q8"/>
    <mergeCell ref="R7:S8"/>
    <mergeCell ref="T7:U8"/>
  </mergeCells>
  <pageMargins left="0.15748031496062992" right="0.15748031496062992" top="0.59055118110236227" bottom="0.59055118110236227" header="0.31496062992125984" footer="0.31496062992125984"/>
  <pageSetup paperSize="9" scale="95" orientation="landscape" horizontalDpi="4294967293" r:id="rId1"/>
  <headerFoot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R149"/>
  <sheetViews>
    <sheetView view="pageBreakPreview" zoomScale="110" zoomScaleNormal="100" zoomScaleSheetLayoutView="110" workbookViewId="0">
      <pane xSplit="3" ySplit="6" topLeftCell="AV22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7" width="13.7109375" style="2" hidden="1" customWidth="1"/>
    <col min="8" max="9" width="13.7109375" style="97" hidden="1" customWidth="1"/>
    <col min="10" max="11" width="13.7109375" style="2" hidden="1" customWidth="1"/>
    <col min="12" max="13" width="13.7109375" style="97" hidden="1" customWidth="1"/>
    <col min="14" max="15" width="13.7109375" style="2" hidden="1" customWidth="1"/>
    <col min="16" max="17" width="13.7109375" style="97" hidden="1" customWidth="1"/>
    <col min="18" max="19" width="13.7109375" style="2" hidden="1" customWidth="1"/>
    <col min="20" max="21" width="13.7109375" style="97" hidden="1" customWidth="1"/>
    <col min="22" max="23" width="13.7109375" style="2" hidden="1" customWidth="1"/>
    <col min="24" max="25" width="13.7109375" style="97" hidden="1" customWidth="1"/>
    <col min="26" max="27" width="13.7109375" style="2" hidden="1" customWidth="1"/>
    <col min="28" max="29" width="13.7109375" style="97" hidden="1" customWidth="1"/>
    <col min="30" max="31" width="13.7109375" style="2" hidden="1" customWidth="1"/>
    <col min="32" max="33" width="13.7109375" style="97" hidden="1" customWidth="1"/>
    <col min="34" max="35" width="13.7109375" style="2" hidden="1" customWidth="1"/>
    <col min="36" max="37" width="13.7109375" style="97" hidden="1" customWidth="1"/>
    <col min="38" max="39" width="13.7109375" style="2" hidden="1" customWidth="1"/>
    <col min="40" max="41" width="13.7109375" style="97" hidden="1" customWidth="1"/>
    <col min="42" max="43" width="13.7109375" style="2" hidden="1" customWidth="1"/>
    <col min="44" max="45" width="13.7109375" style="97" customWidth="1"/>
    <col min="46" max="57" width="13.7109375" style="2" customWidth="1"/>
    <col min="58" max="58" width="3.28515625" style="3" customWidth="1"/>
    <col min="59" max="59" width="12.42578125" style="2" customWidth="1"/>
    <col min="60" max="60" width="3.7109375" style="3" customWidth="1"/>
    <col min="61" max="61" width="12.5703125" style="2" customWidth="1"/>
    <col min="62" max="87" width="13.7109375" style="2" customWidth="1"/>
    <col min="88" max="16384" width="38.42578125" style="2"/>
  </cols>
  <sheetData>
    <row r="1" spans="1:69" s="13" customFormat="1" x14ac:dyDescent="0.5">
      <c r="A1" s="111" t="s">
        <v>160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</row>
    <row r="2" spans="1:69" x14ac:dyDescent="0.5">
      <c r="A2" s="111" t="s">
        <v>161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</row>
    <row r="3" spans="1:69" x14ac:dyDescent="0.5">
      <c r="A3" s="4" t="s">
        <v>162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</row>
    <row r="4" spans="1:69" s="57" customFormat="1" x14ac:dyDescent="0.5">
      <c r="A4" s="317" t="s">
        <v>146</v>
      </c>
      <c r="B4" s="324" t="s">
        <v>29</v>
      </c>
      <c r="C4" s="317" t="s">
        <v>95</v>
      </c>
      <c r="D4" s="314" t="s">
        <v>30</v>
      </c>
      <c r="E4" s="314"/>
      <c r="F4" s="313">
        <v>21336</v>
      </c>
      <c r="G4" s="314"/>
      <c r="H4" s="322" t="s">
        <v>9</v>
      </c>
      <c r="I4" s="322"/>
      <c r="J4" s="313">
        <v>21366</v>
      </c>
      <c r="K4" s="314"/>
      <c r="L4" s="322" t="s">
        <v>9</v>
      </c>
      <c r="M4" s="322"/>
      <c r="N4" s="313">
        <v>21397</v>
      </c>
      <c r="O4" s="314"/>
      <c r="P4" s="322" t="s">
        <v>9</v>
      </c>
      <c r="Q4" s="322"/>
      <c r="R4" s="313">
        <v>21428</v>
      </c>
      <c r="S4" s="314"/>
      <c r="T4" s="322" t="s">
        <v>9</v>
      </c>
      <c r="U4" s="322"/>
      <c r="V4" s="313">
        <v>21458</v>
      </c>
      <c r="W4" s="314"/>
      <c r="X4" s="322" t="s">
        <v>9</v>
      </c>
      <c r="Y4" s="322"/>
      <c r="Z4" s="313">
        <v>21489</v>
      </c>
      <c r="AA4" s="314"/>
      <c r="AB4" s="322" t="s">
        <v>9</v>
      </c>
      <c r="AC4" s="322"/>
      <c r="AD4" s="313">
        <v>21519</v>
      </c>
      <c r="AE4" s="314"/>
      <c r="AF4" s="322" t="s">
        <v>9</v>
      </c>
      <c r="AG4" s="322"/>
      <c r="AH4" s="313">
        <v>21550</v>
      </c>
      <c r="AI4" s="314"/>
      <c r="AJ4" s="322" t="s">
        <v>9</v>
      </c>
      <c r="AK4" s="322"/>
      <c r="AL4" s="313">
        <v>21581</v>
      </c>
      <c r="AM4" s="314"/>
      <c r="AN4" s="322" t="s">
        <v>9</v>
      </c>
      <c r="AO4" s="322"/>
      <c r="AP4" s="313">
        <v>21607</v>
      </c>
      <c r="AQ4" s="314"/>
      <c r="AR4" s="322" t="s">
        <v>9</v>
      </c>
      <c r="AS4" s="322"/>
      <c r="AT4" s="313">
        <v>240784</v>
      </c>
      <c r="AU4" s="314"/>
      <c r="AV4" s="314" t="s">
        <v>31</v>
      </c>
      <c r="AW4" s="314"/>
      <c r="AX4" s="313">
        <v>21670</v>
      </c>
      <c r="AY4" s="314"/>
      <c r="AZ4" s="314" t="s">
        <v>31</v>
      </c>
      <c r="BA4" s="314"/>
      <c r="BB4" s="313" t="s">
        <v>32</v>
      </c>
      <c r="BC4" s="314"/>
      <c r="BD4" s="314" t="s">
        <v>33</v>
      </c>
      <c r="BE4" s="314"/>
      <c r="BF4" s="314" t="s">
        <v>34</v>
      </c>
      <c r="BG4" s="314"/>
      <c r="BH4" s="314"/>
      <c r="BI4" s="314"/>
      <c r="BJ4" s="314" t="s">
        <v>35</v>
      </c>
      <c r="BK4" s="314"/>
      <c r="BL4" s="314" t="s">
        <v>36</v>
      </c>
      <c r="BM4" s="314"/>
      <c r="BN4" s="314" t="s">
        <v>19</v>
      </c>
      <c r="BO4" s="314"/>
      <c r="BP4" s="314" t="s">
        <v>37</v>
      </c>
      <c r="BQ4" s="314"/>
    </row>
    <row r="5" spans="1:69" s="57" customFormat="1" x14ac:dyDescent="0.5">
      <c r="A5" s="318"/>
      <c r="B5" s="324"/>
      <c r="C5" s="318"/>
      <c r="D5" s="314"/>
      <c r="E5" s="314"/>
      <c r="F5" s="314"/>
      <c r="G5" s="314"/>
      <c r="H5" s="322"/>
      <c r="I5" s="322"/>
      <c r="J5" s="314"/>
      <c r="K5" s="314"/>
      <c r="L5" s="322"/>
      <c r="M5" s="322"/>
      <c r="N5" s="314"/>
      <c r="O5" s="314"/>
      <c r="P5" s="322"/>
      <c r="Q5" s="322"/>
      <c r="R5" s="314"/>
      <c r="S5" s="314"/>
      <c r="T5" s="322"/>
      <c r="U5" s="322"/>
      <c r="V5" s="314"/>
      <c r="W5" s="314"/>
      <c r="X5" s="322"/>
      <c r="Y5" s="322"/>
      <c r="Z5" s="314"/>
      <c r="AA5" s="314"/>
      <c r="AB5" s="322"/>
      <c r="AC5" s="322"/>
      <c r="AD5" s="314"/>
      <c r="AE5" s="314"/>
      <c r="AF5" s="322"/>
      <c r="AG5" s="322"/>
      <c r="AH5" s="314"/>
      <c r="AI5" s="314"/>
      <c r="AJ5" s="322"/>
      <c r="AK5" s="322"/>
      <c r="AL5" s="314"/>
      <c r="AM5" s="314"/>
      <c r="AN5" s="322"/>
      <c r="AO5" s="322"/>
      <c r="AP5" s="314"/>
      <c r="AQ5" s="314"/>
      <c r="AR5" s="322"/>
      <c r="AS5" s="322"/>
      <c r="AT5" s="314"/>
      <c r="AU5" s="314"/>
      <c r="AV5" s="314"/>
      <c r="AW5" s="314"/>
      <c r="AX5" s="314"/>
      <c r="AY5" s="314"/>
      <c r="AZ5" s="314"/>
      <c r="BA5" s="314"/>
      <c r="BB5" s="314"/>
      <c r="BC5" s="314"/>
      <c r="BD5" s="314"/>
      <c r="BE5" s="314"/>
      <c r="BF5" s="314"/>
      <c r="BG5" s="314"/>
      <c r="BH5" s="314"/>
      <c r="BI5" s="314"/>
      <c r="BJ5" s="314"/>
      <c r="BK5" s="314"/>
      <c r="BL5" s="314"/>
      <c r="BM5" s="314"/>
      <c r="BN5" s="314"/>
      <c r="BO5" s="314"/>
      <c r="BP5" s="314"/>
      <c r="BQ5" s="314"/>
    </row>
    <row r="6" spans="1:69" s="57" customFormat="1" x14ac:dyDescent="0.5">
      <c r="A6" s="5" t="s">
        <v>147</v>
      </c>
      <c r="B6" s="324"/>
      <c r="C6" s="5" t="s">
        <v>96</v>
      </c>
      <c r="D6" s="58" t="s">
        <v>38</v>
      </c>
      <c r="E6" s="58" t="s">
        <v>39</v>
      </c>
      <c r="F6" s="58" t="s">
        <v>38</v>
      </c>
      <c r="G6" s="58" t="s">
        <v>39</v>
      </c>
      <c r="H6" s="89" t="s">
        <v>38</v>
      </c>
      <c r="I6" s="89" t="s">
        <v>39</v>
      </c>
      <c r="J6" s="58" t="s">
        <v>38</v>
      </c>
      <c r="K6" s="58" t="s">
        <v>39</v>
      </c>
      <c r="L6" s="89" t="s">
        <v>38</v>
      </c>
      <c r="M6" s="89" t="s">
        <v>39</v>
      </c>
      <c r="N6" s="58" t="s">
        <v>38</v>
      </c>
      <c r="O6" s="58" t="s">
        <v>39</v>
      </c>
      <c r="P6" s="89" t="s">
        <v>38</v>
      </c>
      <c r="Q6" s="89" t="s">
        <v>39</v>
      </c>
      <c r="R6" s="58" t="s">
        <v>38</v>
      </c>
      <c r="S6" s="58" t="s">
        <v>39</v>
      </c>
      <c r="T6" s="89" t="s">
        <v>38</v>
      </c>
      <c r="U6" s="89" t="s">
        <v>39</v>
      </c>
      <c r="V6" s="58" t="s">
        <v>38</v>
      </c>
      <c r="W6" s="58" t="s">
        <v>39</v>
      </c>
      <c r="X6" s="89" t="s">
        <v>38</v>
      </c>
      <c r="Y6" s="89" t="s">
        <v>39</v>
      </c>
      <c r="Z6" s="58" t="s">
        <v>38</v>
      </c>
      <c r="AA6" s="58" t="s">
        <v>39</v>
      </c>
      <c r="AB6" s="89" t="s">
        <v>38</v>
      </c>
      <c r="AC6" s="89" t="s">
        <v>39</v>
      </c>
      <c r="AD6" s="58" t="s">
        <v>38</v>
      </c>
      <c r="AE6" s="58" t="s">
        <v>39</v>
      </c>
      <c r="AF6" s="89" t="s">
        <v>38</v>
      </c>
      <c r="AG6" s="89" t="s">
        <v>39</v>
      </c>
      <c r="AH6" s="58" t="s">
        <v>38</v>
      </c>
      <c r="AI6" s="58" t="s">
        <v>39</v>
      </c>
      <c r="AJ6" s="89" t="s">
        <v>38</v>
      </c>
      <c r="AK6" s="89" t="s">
        <v>39</v>
      </c>
      <c r="AL6" s="58" t="s">
        <v>38</v>
      </c>
      <c r="AM6" s="58" t="s">
        <v>39</v>
      </c>
      <c r="AN6" s="89" t="s">
        <v>38</v>
      </c>
      <c r="AO6" s="89" t="s">
        <v>39</v>
      </c>
      <c r="AP6" s="58" t="s">
        <v>38</v>
      </c>
      <c r="AQ6" s="58" t="s">
        <v>39</v>
      </c>
      <c r="AR6" s="89" t="s">
        <v>38</v>
      </c>
      <c r="AS6" s="89" t="s">
        <v>39</v>
      </c>
      <c r="AT6" s="58" t="s">
        <v>38</v>
      </c>
      <c r="AU6" s="58" t="s">
        <v>39</v>
      </c>
      <c r="AV6" s="58" t="s">
        <v>38</v>
      </c>
      <c r="AW6" s="58" t="s">
        <v>39</v>
      </c>
      <c r="AX6" s="58" t="s">
        <v>38</v>
      </c>
      <c r="AY6" s="58" t="s">
        <v>39</v>
      </c>
      <c r="AZ6" s="58" t="s">
        <v>38</v>
      </c>
      <c r="BA6" s="58" t="s">
        <v>39</v>
      </c>
      <c r="BB6" s="58" t="s">
        <v>38</v>
      </c>
      <c r="BC6" s="58" t="s">
        <v>39</v>
      </c>
      <c r="BD6" s="58" t="s">
        <v>38</v>
      </c>
      <c r="BE6" s="58" t="s">
        <v>39</v>
      </c>
      <c r="BF6" s="59"/>
      <c r="BG6" s="58" t="s">
        <v>38</v>
      </c>
      <c r="BH6" s="58"/>
      <c r="BI6" s="58" t="s">
        <v>39</v>
      </c>
      <c r="BJ6" s="58" t="s">
        <v>38</v>
      </c>
      <c r="BK6" s="58" t="s">
        <v>39</v>
      </c>
      <c r="BL6" s="58" t="s">
        <v>38</v>
      </c>
      <c r="BM6" s="58" t="s">
        <v>39</v>
      </c>
      <c r="BN6" s="58" t="s">
        <v>38</v>
      </c>
      <c r="BO6" s="58" t="s">
        <v>39</v>
      </c>
      <c r="BP6" s="58" t="s">
        <v>38</v>
      </c>
      <c r="BQ6" s="58" t="s">
        <v>39</v>
      </c>
    </row>
    <row r="7" spans="1:69" ht="24" x14ac:dyDescent="0.55000000000000004">
      <c r="A7" s="61">
        <v>1</v>
      </c>
      <c r="B7" s="80" t="s">
        <v>1</v>
      </c>
      <c r="C7" s="61">
        <v>5</v>
      </c>
      <c r="D7" s="62">
        <f>+'กระดาษทำการ 30 เม.ย.58'!BP10</f>
        <v>57465.259999999776</v>
      </c>
      <c r="E7" s="62">
        <f>+'กระดาษทำการ 30 เม.ย.58'!BQ10</f>
        <v>0</v>
      </c>
      <c r="F7" s="75">
        <f>270000+25430</f>
        <v>295430</v>
      </c>
      <c r="G7" s="75">
        <f>15511+500+15100+6625+10000+288000+12176+1300+1000+500</f>
        <v>350712</v>
      </c>
      <c r="H7" s="90">
        <f>+D7+F7-G7</f>
        <v>2183.2599999997765</v>
      </c>
      <c r="I7" s="90"/>
      <c r="J7" s="76">
        <f>37077.83+30000</f>
        <v>67077.83</v>
      </c>
      <c r="K7" s="76">
        <f>21967.96+30188+750+500+750+500+2818.69</f>
        <v>57474.65</v>
      </c>
      <c r="L7" s="90">
        <f>+H7+J7-K7</f>
        <v>11786.439999999777</v>
      </c>
      <c r="M7" s="90"/>
      <c r="N7" s="76">
        <f>900+1000+350595.94+420</f>
        <v>352915.94</v>
      </c>
      <c r="O7" s="76">
        <f>7570+3318.69+322400+8432+7370</f>
        <v>349090.69</v>
      </c>
      <c r="P7" s="90">
        <f>+L7+N7-O7</f>
        <v>15611.689999999769</v>
      </c>
      <c r="Q7" s="90"/>
      <c r="R7" s="60">
        <f>30000+700+1500</f>
        <v>32200</v>
      </c>
      <c r="S7" s="60">
        <f>14043+610+520+8270+205</f>
        <v>23648</v>
      </c>
      <c r="T7" s="90">
        <f>+P7+R7-S7</f>
        <v>24163.689999999769</v>
      </c>
      <c r="U7" s="90"/>
      <c r="V7" s="60">
        <v>14740</v>
      </c>
      <c r="W7" s="60">
        <f>47+130+1000+8970+700+1140</f>
        <v>11987</v>
      </c>
      <c r="X7" s="90">
        <f>+T7+V7-W7</f>
        <v>26916.689999999769</v>
      </c>
      <c r="Y7" s="90"/>
      <c r="Z7" s="77">
        <f>60+186494.17+100+100</f>
        <v>186754.17</v>
      </c>
      <c r="AA7" s="78">
        <f>14740+1618.69+500+870+157643.95+900+16781+1100</f>
        <v>194153.64</v>
      </c>
      <c r="AB7" s="90">
        <f>+X7+Z7-AA7</f>
        <v>19517.219999999768</v>
      </c>
      <c r="AC7" s="90"/>
      <c r="AD7" s="60">
        <f>29581.16+27026.98+3500+20+16000+290+1000</f>
        <v>77418.14</v>
      </c>
      <c r="AE7" s="60">
        <f>10000+46000+1700+5000+15310+500+1500+400+400+11580</f>
        <v>92390</v>
      </c>
      <c r="AF7" s="90">
        <f>+AB7+AD7-AE7</f>
        <v>4545.3599999997678</v>
      </c>
      <c r="AG7" s="90"/>
      <c r="AH7" s="62">
        <f>50000+790+1000+400+1500</f>
        <v>53690</v>
      </c>
      <c r="AI7" s="62">
        <f>30150+330+816.69+300</f>
        <v>31596.69</v>
      </c>
      <c r="AJ7" s="90">
        <f>+AF7+AH7-AI7</f>
        <v>26638.669999999769</v>
      </c>
      <c r="AK7" s="90"/>
      <c r="AL7" s="62">
        <f>39263.4+88305.63+347335.16+356566.8+1000+429.68+21700</f>
        <v>854600.67</v>
      </c>
      <c r="AM7" s="62">
        <f>38270+84900+346200+352900+1190+40+20300</f>
        <v>843800</v>
      </c>
      <c r="AN7" s="90">
        <f>+AJ7+AL7-AM7</f>
        <v>37439.339999999851</v>
      </c>
      <c r="AO7" s="90"/>
      <c r="AP7" s="62">
        <v>564628.1</v>
      </c>
      <c r="AQ7" s="62">
        <f>568880+300</f>
        <v>569180</v>
      </c>
      <c r="AR7" s="90">
        <f>+AN7+AP7-AQ7</f>
        <v>32887.439999999828</v>
      </c>
      <c r="AS7" s="90"/>
      <c r="AT7" s="60">
        <f>339364.86+464265.95</f>
        <v>803630.81</v>
      </c>
      <c r="AU7" s="60">
        <f>335807.73+460545</f>
        <v>796352.73</v>
      </c>
      <c r="AV7" s="62">
        <f>+AR7+AT7-AU7</f>
        <v>40165.519999999902</v>
      </c>
      <c r="AW7" s="62"/>
      <c r="AX7" s="62"/>
      <c r="AY7" s="62"/>
      <c r="AZ7" s="62"/>
      <c r="BA7" s="62"/>
      <c r="BB7" s="62"/>
      <c r="BC7" s="62"/>
      <c r="BD7" s="63">
        <f>D7+BB7-BC7</f>
        <v>57465.259999999776</v>
      </c>
      <c r="BE7" s="62"/>
      <c r="BF7" s="25"/>
      <c r="BG7" s="26"/>
      <c r="BH7" s="20"/>
      <c r="BI7" s="26"/>
      <c r="BJ7" s="26">
        <f>BD7+BG7-BI7</f>
        <v>57465.259999999776</v>
      </c>
      <c r="BK7" s="26"/>
      <c r="BL7" s="26"/>
      <c r="BM7" s="26"/>
      <c r="BN7" s="26"/>
      <c r="BO7" s="26"/>
      <c r="BP7" s="26">
        <f>BJ7</f>
        <v>57465.259999999776</v>
      </c>
      <c r="BQ7" s="26"/>
    </row>
    <row r="8" spans="1:69" ht="24" x14ac:dyDescent="0.55000000000000004">
      <c r="A8" s="61">
        <v>2</v>
      </c>
      <c r="B8" s="81" t="s">
        <v>40</v>
      </c>
      <c r="C8" s="67">
        <v>22</v>
      </c>
      <c r="D8" s="68">
        <f>+'กระดาษทำการ 30 เม.ย.58'!BP11</f>
        <v>349807.45999999973</v>
      </c>
      <c r="E8" s="68">
        <f>+'กระดาษทำการ 30 เม.ย.58'!BQ11</f>
        <v>0</v>
      </c>
      <c r="F8" s="76">
        <f>15100+14800+667.49</f>
        <v>30567.49</v>
      </c>
      <c r="G8" s="76">
        <v>270000</v>
      </c>
      <c r="H8" s="90">
        <f t="shared" ref="H8:H73" si="0">+D8+F8-G8</f>
        <v>110374.94999999972</v>
      </c>
      <c r="I8" s="91"/>
      <c r="J8" s="76">
        <f>7370+7370</f>
        <v>14740</v>
      </c>
      <c r="K8" s="76">
        <v>30000</v>
      </c>
      <c r="L8" s="90">
        <f>+H8+J8-K8</f>
        <v>95114.949999999721</v>
      </c>
      <c r="M8" s="91"/>
      <c r="N8" s="76">
        <f>7370+7370</f>
        <v>14740</v>
      </c>
      <c r="O8" s="76"/>
      <c r="P8" s="90">
        <f>+L8+N8-O8</f>
        <v>109854.94999999972</v>
      </c>
      <c r="Q8" s="91"/>
      <c r="R8" s="60"/>
      <c r="S8" s="60">
        <v>30000</v>
      </c>
      <c r="T8" s="90">
        <f>+P8+R8-S8</f>
        <v>79854.949999999721</v>
      </c>
      <c r="U8" s="91"/>
      <c r="V8" s="60">
        <v>413.88</v>
      </c>
      <c r="W8" s="60"/>
      <c r="X8" s="90">
        <f>+T8+V8-W8</f>
        <v>80268.829999999725</v>
      </c>
      <c r="Y8" s="91"/>
      <c r="Z8" s="77">
        <f>7370+7370+60000+7370</f>
        <v>82110</v>
      </c>
      <c r="AA8" s="79"/>
      <c r="AB8" s="90">
        <f t="shared" ref="AB8:AB34" si="1">+X8+Z8-AA8</f>
        <v>162378.82999999973</v>
      </c>
      <c r="AC8" s="91"/>
      <c r="AD8" s="60"/>
      <c r="AE8" s="60"/>
      <c r="AF8" s="90">
        <f t="shared" ref="AF8:AF34" si="2">+AB8+AD8-AE8</f>
        <v>162378.82999999973</v>
      </c>
      <c r="AG8" s="91"/>
      <c r="AH8" s="68"/>
      <c r="AI8" s="68">
        <v>50000</v>
      </c>
      <c r="AJ8" s="90">
        <f>+AF8+AH8-AI8</f>
        <v>112378.82999999973</v>
      </c>
      <c r="AK8" s="91"/>
      <c r="AL8" s="68">
        <f>30000+75000+80000+30000+20000</f>
        <v>235000</v>
      </c>
      <c r="AM8" s="68">
        <v>235000</v>
      </c>
      <c r="AN8" s="91">
        <f>+AJ8+AL8-AM8</f>
        <v>112378.82999999973</v>
      </c>
      <c r="AO8" s="91"/>
      <c r="AP8" s="68"/>
      <c r="AQ8" s="68"/>
      <c r="AR8" s="90">
        <f t="shared" ref="AR8:AR31" si="3">+AN8+AP8-AQ8</f>
        <v>112378.82999999973</v>
      </c>
      <c r="AS8" s="91"/>
      <c r="AT8" s="68">
        <v>31620</v>
      </c>
      <c r="AU8" s="68"/>
      <c r="AV8" s="62">
        <f t="shared" ref="AV8:AV22" si="4">+AR8+AT8-AU8</f>
        <v>143998.82999999973</v>
      </c>
      <c r="AW8" s="68"/>
      <c r="AX8" s="68"/>
      <c r="AY8" s="68"/>
      <c r="AZ8" s="68"/>
      <c r="BA8" s="68"/>
      <c r="BB8" s="68"/>
      <c r="BC8" s="68"/>
      <c r="BD8" s="68">
        <f>D8+BB8-BC8</f>
        <v>349807.45999999973</v>
      </c>
      <c r="BE8" s="68"/>
      <c r="BF8" s="31">
        <v>1</v>
      </c>
      <c r="BG8" s="32">
        <v>667.49</v>
      </c>
      <c r="BH8" s="27"/>
      <c r="BI8" s="32"/>
      <c r="BJ8" s="32">
        <f>BD8+BG8-BI8</f>
        <v>350474.94999999972</v>
      </c>
      <c r="BK8" s="32"/>
      <c r="BL8" s="32"/>
      <c r="BM8" s="32"/>
      <c r="BN8" s="32"/>
      <c r="BO8" s="32"/>
      <c r="BP8" s="32">
        <f>BJ8</f>
        <v>350474.94999999972</v>
      </c>
      <c r="BQ8" s="32"/>
    </row>
    <row r="9" spans="1:69" x14ac:dyDescent="0.5">
      <c r="A9" s="61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68"/>
      <c r="G9" s="68"/>
      <c r="H9" s="90">
        <f t="shared" si="0"/>
        <v>574.27999999999986</v>
      </c>
      <c r="I9" s="91"/>
      <c r="J9" s="68"/>
      <c r="K9" s="68"/>
      <c r="L9" s="90">
        <f t="shared" ref="L9:L15" si="5">+H9+J9-K9</f>
        <v>574.27999999999986</v>
      </c>
      <c r="M9" s="91"/>
      <c r="N9" s="68"/>
      <c r="O9" s="68"/>
      <c r="P9" s="90">
        <f t="shared" ref="P9:P30" si="6">+L9+N9-O9</f>
        <v>574.27999999999986</v>
      </c>
      <c r="Q9" s="91"/>
      <c r="R9" s="68"/>
      <c r="S9" s="68"/>
      <c r="T9" s="90">
        <f>+P9+R9-S9</f>
        <v>574.27999999999986</v>
      </c>
      <c r="U9" s="91"/>
      <c r="V9" s="68"/>
      <c r="W9" s="68"/>
      <c r="X9" s="90">
        <f>+T9+V9-W9</f>
        <v>574.27999999999986</v>
      </c>
      <c r="Y9" s="91"/>
      <c r="Z9" s="68"/>
      <c r="AA9" s="68"/>
      <c r="AB9" s="90">
        <f t="shared" si="1"/>
        <v>574.27999999999986</v>
      </c>
      <c r="AC9" s="91"/>
      <c r="AD9" s="68"/>
      <c r="AE9" s="68"/>
      <c r="AF9" s="90">
        <f t="shared" si="2"/>
        <v>574.27999999999986</v>
      </c>
      <c r="AG9" s="91"/>
      <c r="AH9" s="68"/>
      <c r="AI9" s="68"/>
      <c r="AJ9" s="90">
        <f t="shared" ref="AJ9:AJ34" si="7">+AF9+AH9-AI9</f>
        <v>574.27999999999986</v>
      </c>
      <c r="AK9" s="91"/>
      <c r="AL9" s="68"/>
      <c r="AM9" s="68"/>
      <c r="AN9" s="91">
        <f t="shared" ref="AN9:AN11" si="8">+AJ9+AL9-AM9</f>
        <v>574.27999999999986</v>
      </c>
      <c r="AO9" s="91"/>
      <c r="AP9" s="68"/>
      <c r="AQ9" s="68"/>
      <c r="AR9" s="90">
        <f t="shared" si="3"/>
        <v>574.27999999999986</v>
      </c>
      <c r="AS9" s="91"/>
      <c r="AT9" s="68"/>
      <c r="AU9" s="68"/>
      <c r="AV9" s="62">
        <f t="shared" si="4"/>
        <v>574.27999999999986</v>
      </c>
      <c r="AW9" s="68"/>
      <c r="AX9" s="68"/>
      <c r="AY9" s="68"/>
      <c r="AZ9" s="68"/>
      <c r="BA9" s="68"/>
      <c r="BB9" s="68"/>
      <c r="BC9" s="68"/>
      <c r="BD9" s="68">
        <f>D9+BB9-BC9</f>
        <v>574.27999999999986</v>
      </c>
      <c r="BE9" s="68"/>
      <c r="BF9" s="31">
        <v>1</v>
      </c>
      <c r="BG9" s="32">
        <v>1.43</v>
      </c>
      <c r="BH9" s="27"/>
      <c r="BI9" s="32"/>
      <c r="BJ9" s="32">
        <f>BD9+BG9-BI9</f>
        <v>575.70999999999981</v>
      </c>
      <c r="BK9" s="32"/>
      <c r="BL9" s="32"/>
      <c r="BM9" s="32"/>
      <c r="BN9" s="32"/>
      <c r="BO9" s="32"/>
      <c r="BP9" s="32">
        <f>BJ9</f>
        <v>575.70999999999981</v>
      </c>
      <c r="BQ9" s="32"/>
    </row>
    <row r="10" spans="1:69" x14ac:dyDescent="0.5">
      <c r="A10" s="61">
        <v>4</v>
      </c>
      <c r="B10" s="81" t="s">
        <v>43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68"/>
      <c r="G10" s="68"/>
      <c r="H10" s="90">
        <f t="shared" si="0"/>
        <v>8185.4</v>
      </c>
      <c r="I10" s="91"/>
      <c r="J10" s="68"/>
      <c r="K10" s="68"/>
      <c r="L10" s="90">
        <f t="shared" si="5"/>
        <v>8185.4</v>
      </c>
      <c r="M10" s="91"/>
      <c r="N10" s="68"/>
      <c r="O10" s="68"/>
      <c r="P10" s="90">
        <f t="shared" si="6"/>
        <v>8185.4</v>
      </c>
      <c r="Q10" s="91"/>
      <c r="R10" s="68"/>
      <c r="S10" s="68"/>
      <c r="T10" s="90">
        <f>+P10+R10-S10</f>
        <v>8185.4</v>
      </c>
      <c r="U10" s="91"/>
      <c r="V10" s="68"/>
      <c r="W10" s="68"/>
      <c r="X10" s="90">
        <f>+T10+V10-W10</f>
        <v>8185.4</v>
      </c>
      <c r="Y10" s="91"/>
      <c r="Z10" s="68"/>
      <c r="AA10" s="68"/>
      <c r="AB10" s="90">
        <f t="shared" si="1"/>
        <v>8185.4</v>
      </c>
      <c r="AC10" s="91"/>
      <c r="AD10" s="68"/>
      <c r="AE10" s="68"/>
      <c r="AF10" s="90">
        <f t="shared" si="2"/>
        <v>8185.4</v>
      </c>
      <c r="AG10" s="91"/>
      <c r="AH10" s="68"/>
      <c r="AI10" s="68"/>
      <c r="AJ10" s="90">
        <f t="shared" si="7"/>
        <v>8185.4</v>
      </c>
      <c r="AK10" s="91"/>
      <c r="AL10" s="68"/>
      <c r="AM10" s="68"/>
      <c r="AN10" s="91">
        <f t="shared" si="8"/>
        <v>8185.4</v>
      </c>
      <c r="AO10" s="91"/>
      <c r="AP10" s="68"/>
      <c r="AQ10" s="68"/>
      <c r="AR10" s="90">
        <f t="shared" si="3"/>
        <v>8185.4</v>
      </c>
      <c r="AS10" s="91"/>
      <c r="AT10" s="68"/>
      <c r="AU10" s="68"/>
      <c r="AV10" s="62">
        <f t="shared" si="4"/>
        <v>8185.4</v>
      </c>
      <c r="AW10" s="68"/>
      <c r="AX10" s="68"/>
      <c r="AY10" s="68"/>
      <c r="AZ10" s="68"/>
      <c r="BA10" s="68"/>
      <c r="BB10" s="68"/>
      <c r="BC10" s="68"/>
      <c r="BD10" s="68">
        <f>D10+BB10-BC10</f>
        <v>8185.4</v>
      </c>
      <c r="BE10" s="68"/>
      <c r="BF10" s="31">
        <v>1</v>
      </c>
      <c r="BG10" s="32">
        <v>20.36</v>
      </c>
      <c r="BH10" s="27"/>
      <c r="BI10" s="32"/>
      <c r="BJ10" s="32">
        <f>BD10+BG10-BI10</f>
        <v>8205.76</v>
      </c>
      <c r="BK10" s="32"/>
      <c r="BL10" s="32"/>
      <c r="BM10" s="32"/>
      <c r="BN10" s="32"/>
      <c r="BO10" s="32"/>
      <c r="BP10" s="32">
        <f>BJ10</f>
        <v>8205.76</v>
      </c>
      <c r="BQ10" s="32"/>
    </row>
    <row r="11" spans="1:69" x14ac:dyDescent="0.5">
      <c r="A11" s="61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68"/>
      <c r="G11" s="68"/>
      <c r="H11" s="90">
        <f t="shared" si="0"/>
        <v>384907.3</v>
      </c>
      <c r="I11" s="91"/>
      <c r="J11" s="68"/>
      <c r="K11" s="68"/>
      <c r="L11" s="90">
        <f t="shared" si="5"/>
        <v>384907.3</v>
      </c>
      <c r="M11" s="91"/>
      <c r="N11" s="68"/>
      <c r="O11" s="68"/>
      <c r="P11" s="90">
        <f t="shared" si="6"/>
        <v>384907.3</v>
      </c>
      <c r="Q11" s="91"/>
      <c r="R11" s="68"/>
      <c r="S11" s="68"/>
      <c r="T11" s="90">
        <f>+P11+R11-S11</f>
        <v>384907.3</v>
      </c>
      <c r="U11" s="91"/>
      <c r="V11" s="68"/>
      <c r="W11" s="68"/>
      <c r="X11" s="90">
        <f>+T11+V11-W11</f>
        <v>384907.3</v>
      </c>
      <c r="Y11" s="91"/>
      <c r="Z11" s="68"/>
      <c r="AA11" s="68"/>
      <c r="AB11" s="90">
        <f t="shared" si="1"/>
        <v>384907.3</v>
      </c>
      <c r="AC11" s="91"/>
      <c r="AD11" s="68"/>
      <c r="AE11" s="68">
        <v>2000</v>
      </c>
      <c r="AF11" s="90">
        <f t="shared" si="2"/>
        <v>382907.3</v>
      </c>
      <c r="AG11" s="91"/>
      <c r="AH11" s="68"/>
      <c r="AI11" s="68"/>
      <c r="AJ11" s="90">
        <f t="shared" si="7"/>
        <v>382907.3</v>
      </c>
      <c r="AK11" s="91"/>
      <c r="AL11" s="68"/>
      <c r="AM11" s="68">
        <v>2000</v>
      </c>
      <c r="AN11" s="91">
        <f t="shared" si="8"/>
        <v>380907.3</v>
      </c>
      <c r="AO11" s="91"/>
      <c r="AP11" s="68"/>
      <c r="AQ11" s="68">
        <v>2000</v>
      </c>
      <c r="AR11" s="90">
        <f t="shared" si="3"/>
        <v>378907.3</v>
      </c>
      <c r="AS11" s="91"/>
      <c r="AT11" s="68"/>
      <c r="AU11" s="68">
        <v>500</v>
      </c>
      <c r="AV11" s="62">
        <f t="shared" si="4"/>
        <v>378407.3</v>
      </c>
      <c r="AW11" s="68"/>
      <c r="AX11" s="68"/>
      <c r="AY11" s="68"/>
      <c r="AZ11" s="68"/>
      <c r="BA11" s="68"/>
      <c r="BB11" s="68"/>
      <c r="BC11" s="68"/>
      <c r="BD11" s="68">
        <f>D11+BB11-BC11</f>
        <v>384907.3</v>
      </c>
      <c r="BE11" s="68"/>
      <c r="BF11" s="31"/>
      <c r="BG11" s="32"/>
      <c r="BH11" s="27"/>
      <c r="BI11" s="32"/>
      <c r="BJ11" s="32">
        <f>BD11+BG11-BI11</f>
        <v>384907.3</v>
      </c>
      <c r="BK11" s="32"/>
      <c r="BL11" s="32"/>
      <c r="BM11" s="32"/>
      <c r="BN11" s="32"/>
      <c r="BO11" s="32"/>
      <c r="BP11" s="32">
        <f>BJ11</f>
        <v>384907.3</v>
      </c>
      <c r="BQ11" s="32"/>
    </row>
    <row r="12" spans="1:69" x14ac:dyDescent="0.5">
      <c r="A12" s="61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68"/>
      <c r="G12" s="68"/>
      <c r="H12" s="90">
        <f t="shared" si="0"/>
        <v>0</v>
      </c>
      <c r="I12" s="91">
        <f>+E12</f>
        <v>384907.3</v>
      </c>
      <c r="J12" s="68"/>
      <c r="K12" s="68"/>
      <c r="L12" s="90">
        <f t="shared" si="5"/>
        <v>0</v>
      </c>
      <c r="M12" s="91">
        <f>+I12</f>
        <v>384907.3</v>
      </c>
      <c r="N12" s="68"/>
      <c r="O12" s="68"/>
      <c r="P12" s="90">
        <f t="shared" si="6"/>
        <v>0</v>
      </c>
      <c r="Q12" s="91">
        <f>+M12</f>
        <v>384907.3</v>
      </c>
      <c r="R12" s="68"/>
      <c r="S12" s="68"/>
      <c r="T12" s="91"/>
      <c r="U12" s="91">
        <f>+Q12+S12-R12</f>
        <v>384907.3</v>
      </c>
      <c r="V12" s="68"/>
      <c r="W12" s="68"/>
      <c r="X12" s="91"/>
      <c r="Y12" s="91">
        <f>+U12</f>
        <v>384907.3</v>
      </c>
      <c r="Z12" s="68"/>
      <c r="AA12" s="68"/>
      <c r="AB12" s="90">
        <f t="shared" si="1"/>
        <v>0</v>
      </c>
      <c r="AC12" s="91">
        <f>+Y12</f>
        <v>384907.3</v>
      </c>
      <c r="AD12" s="68"/>
      <c r="AE12" s="68"/>
      <c r="AF12" s="90">
        <f t="shared" si="2"/>
        <v>0</v>
      </c>
      <c r="AG12" s="91">
        <f>+AC12</f>
        <v>384907.3</v>
      </c>
      <c r="AH12" s="68"/>
      <c r="AI12" s="68"/>
      <c r="AJ12" s="90">
        <f t="shared" si="7"/>
        <v>0</v>
      </c>
      <c r="AK12" s="91">
        <f>+AG12+AI12-AH12</f>
        <v>384907.3</v>
      </c>
      <c r="AL12" s="68"/>
      <c r="AM12" s="68"/>
      <c r="AN12" s="91"/>
      <c r="AO12" s="91">
        <f>+AK12</f>
        <v>384907.3</v>
      </c>
      <c r="AP12" s="68"/>
      <c r="AQ12" s="68"/>
      <c r="AR12" s="90"/>
      <c r="AS12" s="91">
        <f>+AO12</f>
        <v>384907.3</v>
      </c>
      <c r="AT12" s="68"/>
      <c r="AU12" s="68"/>
      <c r="AV12" s="62"/>
      <c r="AW12" s="68">
        <f>+AS12</f>
        <v>384907.3</v>
      </c>
      <c r="AX12" s="68"/>
      <c r="AY12" s="68"/>
      <c r="AZ12" s="68"/>
      <c r="BA12" s="68"/>
      <c r="BB12" s="68"/>
      <c r="BC12" s="68"/>
      <c r="BD12" s="68"/>
      <c r="BE12" s="68">
        <f>E12+BC12-BB12</f>
        <v>384907.3</v>
      </c>
      <c r="BF12" s="31"/>
      <c r="BG12" s="32"/>
      <c r="BH12" s="27"/>
      <c r="BI12" s="32"/>
      <c r="BJ12" s="32"/>
      <c r="BK12" s="32">
        <f>BE12+BI12-BG12</f>
        <v>384907.3</v>
      </c>
      <c r="BL12" s="32"/>
      <c r="BM12" s="32"/>
      <c r="BN12" s="32"/>
      <c r="BO12" s="32"/>
      <c r="BP12" s="32"/>
      <c r="BQ12" s="32">
        <f>BK12</f>
        <v>384907.3</v>
      </c>
    </row>
    <row r="13" spans="1:69" x14ac:dyDescent="0.5">
      <c r="A13" s="61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68"/>
      <c r="G13" s="68"/>
      <c r="H13" s="90">
        <f t="shared" si="0"/>
        <v>0</v>
      </c>
      <c r="I13" s="91"/>
      <c r="J13" s="68"/>
      <c r="K13" s="68"/>
      <c r="L13" s="90">
        <f t="shared" si="5"/>
        <v>0</v>
      </c>
      <c r="M13" s="91"/>
      <c r="N13" s="68"/>
      <c r="O13" s="68"/>
      <c r="P13" s="90">
        <f t="shared" si="6"/>
        <v>0</v>
      </c>
      <c r="Q13" s="91"/>
      <c r="R13" s="68"/>
      <c r="S13" s="68"/>
      <c r="T13" s="91"/>
      <c r="U13" s="91"/>
      <c r="V13" s="68"/>
      <c r="W13" s="68"/>
      <c r="X13" s="91"/>
      <c r="Y13" s="91"/>
      <c r="Z13" s="68"/>
      <c r="AA13" s="68"/>
      <c r="AB13" s="90">
        <f t="shared" si="1"/>
        <v>0</v>
      </c>
      <c r="AC13" s="91"/>
      <c r="AD13" s="68"/>
      <c r="AE13" s="68"/>
      <c r="AF13" s="90">
        <f t="shared" si="2"/>
        <v>0</v>
      </c>
      <c r="AG13" s="91"/>
      <c r="AH13" s="68"/>
      <c r="AI13" s="68"/>
      <c r="AJ13" s="90">
        <f t="shared" si="7"/>
        <v>0</v>
      </c>
      <c r="AK13" s="91">
        <f t="shared" ref="AK13:AK63" si="9">+AG13+AI13-AH13</f>
        <v>0</v>
      </c>
      <c r="AL13" s="68"/>
      <c r="AM13" s="68"/>
      <c r="AN13" s="91"/>
      <c r="AO13" s="91"/>
      <c r="AP13" s="68"/>
      <c r="AQ13" s="68"/>
      <c r="AR13" s="90"/>
      <c r="AS13" s="91"/>
      <c r="AT13" s="68"/>
      <c r="AU13" s="68"/>
      <c r="AV13" s="62"/>
      <c r="AW13" s="68"/>
      <c r="AX13" s="68"/>
      <c r="AY13" s="68"/>
      <c r="AZ13" s="68"/>
      <c r="BA13" s="68"/>
      <c r="BB13" s="68"/>
      <c r="BC13" s="68"/>
      <c r="BD13" s="68"/>
      <c r="BE13" s="68"/>
      <c r="BF13" s="31"/>
      <c r="BG13" s="32"/>
      <c r="BH13" s="27"/>
      <c r="BI13" s="32"/>
      <c r="BJ13" s="32"/>
      <c r="BK13" s="32"/>
      <c r="BL13" s="32"/>
      <c r="BM13" s="32"/>
      <c r="BN13" s="32"/>
      <c r="BO13" s="32"/>
      <c r="BP13" s="32"/>
      <c r="BQ13" s="32"/>
    </row>
    <row r="14" spans="1:69" x14ac:dyDescent="0.5">
      <c r="A14" s="61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68"/>
      <c r="G14" s="68"/>
      <c r="H14" s="90">
        <f t="shared" si="0"/>
        <v>343820.06999999995</v>
      </c>
      <c r="I14" s="91"/>
      <c r="J14" s="68"/>
      <c r="K14" s="68"/>
      <c r="L14" s="90">
        <f t="shared" si="5"/>
        <v>343820.06999999995</v>
      </c>
      <c r="M14" s="91"/>
      <c r="N14" s="68"/>
      <c r="O14" s="68"/>
      <c r="P14" s="90">
        <f t="shared" si="6"/>
        <v>343820.06999999995</v>
      </c>
      <c r="Q14" s="91"/>
      <c r="R14" s="68"/>
      <c r="S14" s="68"/>
      <c r="T14" s="91">
        <f>+P14+R14-S14</f>
        <v>343820.06999999995</v>
      </c>
      <c r="U14" s="91"/>
      <c r="V14" s="68"/>
      <c r="W14" s="68"/>
      <c r="X14" s="91">
        <f>+T14+V14-W14</f>
        <v>343820.06999999995</v>
      </c>
      <c r="Y14" s="91"/>
      <c r="Z14" s="68"/>
      <c r="AA14" s="68"/>
      <c r="AB14" s="90">
        <f t="shared" si="1"/>
        <v>343820.06999999995</v>
      </c>
      <c r="AC14" s="91"/>
      <c r="AD14" s="68"/>
      <c r="AE14" s="68"/>
      <c r="AF14" s="90">
        <f t="shared" si="2"/>
        <v>343820.06999999995</v>
      </c>
      <c r="AG14" s="91"/>
      <c r="AH14" s="68"/>
      <c r="AI14" s="68"/>
      <c r="AJ14" s="90">
        <f t="shared" si="7"/>
        <v>343820.06999999995</v>
      </c>
      <c r="AK14" s="91">
        <f t="shared" si="9"/>
        <v>0</v>
      </c>
      <c r="AL14" s="68"/>
      <c r="AM14" s="68"/>
      <c r="AN14" s="91">
        <f>+AJ14</f>
        <v>343820.06999999995</v>
      </c>
      <c r="AO14" s="91"/>
      <c r="AP14" s="68"/>
      <c r="AQ14" s="68"/>
      <c r="AR14" s="90">
        <f t="shared" si="3"/>
        <v>343820.06999999995</v>
      </c>
      <c r="AS14" s="91"/>
      <c r="AT14" s="68"/>
      <c r="AU14" s="68"/>
      <c r="AV14" s="62">
        <f t="shared" si="4"/>
        <v>343820.06999999995</v>
      </c>
      <c r="AW14" s="68"/>
      <c r="AX14" s="68"/>
      <c r="AY14" s="68"/>
      <c r="AZ14" s="68"/>
      <c r="BA14" s="68"/>
      <c r="BB14" s="68"/>
      <c r="BC14" s="68"/>
      <c r="BD14" s="68">
        <f t="shared" ref="BD14:BD30" si="10">D14+BB14-BC14</f>
        <v>343820.06999999995</v>
      </c>
      <c r="BE14" s="68"/>
      <c r="BF14" s="31">
        <v>2</v>
      </c>
      <c r="BG14" s="32">
        <v>13223.85</v>
      </c>
      <c r="BH14" s="27"/>
      <c r="BI14" s="32"/>
      <c r="BJ14" s="32">
        <f>BD14+BG14-BI14</f>
        <v>357043.91999999993</v>
      </c>
      <c r="BK14" s="32"/>
      <c r="BL14" s="32"/>
      <c r="BM14" s="32"/>
      <c r="BN14" s="32"/>
      <c r="BO14" s="32"/>
      <c r="BP14" s="32">
        <f>BJ14</f>
        <v>357043.91999999993</v>
      </c>
      <c r="BQ14" s="32"/>
    </row>
    <row r="15" spans="1:69" ht="24" x14ac:dyDescent="0.55000000000000004">
      <c r="A15" s="61">
        <v>9</v>
      </c>
      <c r="B15" s="81" t="s">
        <v>47</v>
      </c>
      <c r="C15" s="67">
        <v>47</v>
      </c>
      <c r="D15" s="68">
        <f>+'กระดาษทำการ 30 เม.ย.58'!BP19</f>
        <v>508157.69999999995</v>
      </c>
      <c r="E15" s="68">
        <f>+'กระดาษทำการ 30 เม.ย.58'!BQ19</f>
        <v>0</v>
      </c>
      <c r="F15" s="76">
        <f>580+3500+4415</f>
        <v>8495</v>
      </c>
      <c r="G15" s="76">
        <v>24830</v>
      </c>
      <c r="H15" s="90">
        <f t="shared" si="0"/>
        <v>491822.69999999995</v>
      </c>
      <c r="I15" s="91"/>
      <c r="J15" s="68">
        <f>21700+34195</f>
        <v>55895</v>
      </c>
      <c r="K15" s="68"/>
      <c r="L15" s="90">
        <f t="shared" si="5"/>
        <v>547717.69999999995</v>
      </c>
      <c r="M15" s="91"/>
      <c r="N15" s="68">
        <f>8670+8840+2700</f>
        <v>20210</v>
      </c>
      <c r="O15" s="68"/>
      <c r="P15" s="90">
        <f t="shared" si="6"/>
        <v>567927.69999999995</v>
      </c>
      <c r="Q15" s="91"/>
      <c r="R15" s="60">
        <v>14245</v>
      </c>
      <c r="S15" s="60">
        <f>700+1500</f>
        <v>2200</v>
      </c>
      <c r="T15" s="91">
        <f>+P15+R15-S15</f>
        <v>579972.69999999995</v>
      </c>
      <c r="U15" s="91"/>
      <c r="V15" s="68"/>
      <c r="W15" s="68"/>
      <c r="X15" s="91">
        <f>+T15+V15-W15</f>
        <v>579972.69999999995</v>
      </c>
      <c r="Y15" s="91"/>
      <c r="Z15" s="60">
        <f>3130+17205</f>
        <v>20335</v>
      </c>
      <c r="AA15" s="60">
        <v>81200</v>
      </c>
      <c r="AB15" s="90">
        <f t="shared" si="1"/>
        <v>519107.69999999995</v>
      </c>
      <c r="AC15" s="91"/>
      <c r="AD15" s="68">
        <f>26865+5200+15970</f>
        <v>48035</v>
      </c>
      <c r="AE15" s="68">
        <f>18625+15470+1500+1000</f>
        <v>36595</v>
      </c>
      <c r="AF15" s="90">
        <f t="shared" si="2"/>
        <v>530547.69999999995</v>
      </c>
      <c r="AG15" s="91"/>
      <c r="AH15" s="68">
        <v>30150</v>
      </c>
      <c r="AI15" s="68">
        <f>500+1000+1500</f>
        <v>3000</v>
      </c>
      <c r="AJ15" s="90">
        <f t="shared" si="7"/>
        <v>557697.69999999995</v>
      </c>
      <c r="AK15" s="91"/>
      <c r="AL15" s="68">
        <f>8250+10000</f>
        <v>18250</v>
      </c>
      <c r="AM15" s="68">
        <f>1000+2000+1000+21700</f>
        <v>25700</v>
      </c>
      <c r="AN15" s="91">
        <f>+AJ15+AL15-AM15</f>
        <v>550247.69999999995</v>
      </c>
      <c r="AO15" s="91"/>
      <c r="AP15" s="68"/>
      <c r="AQ15" s="68">
        <v>2700</v>
      </c>
      <c r="AR15" s="90">
        <f t="shared" si="3"/>
        <v>547547.69999999995</v>
      </c>
      <c r="AS15" s="91"/>
      <c r="AT15" s="60"/>
      <c r="AU15" s="60">
        <f>3870+1650</f>
        <v>5520</v>
      </c>
      <c r="AV15" s="62">
        <f t="shared" si="4"/>
        <v>542027.69999999995</v>
      </c>
      <c r="AW15" s="68"/>
      <c r="AX15" s="68"/>
      <c r="AY15" s="68"/>
      <c r="AZ15" s="68"/>
      <c r="BA15" s="68"/>
      <c r="BB15" s="68"/>
      <c r="BC15" s="68"/>
      <c r="BD15" s="68">
        <f t="shared" si="10"/>
        <v>508157.69999999995</v>
      </c>
      <c r="BE15" s="68"/>
      <c r="BF15" s="31"/>
      <c r="BG15" s="32"/>
      <c r="BH15" s="27"/>
      <c r="BI15" s="32"/>
      <c r="BJ15" s="32">
        <f>BD15+BG15-BI15</f>
        <v>508157.69999999995</v>
      </c>
      <c r="BK15" s="32"/>
      <c r="BL15" s="32"/>
      <c r="BM15" s="32"/>
      <c r="BN15" s="32"/>
      <c r="BO15" s="32"/>
      <c r="BP15" s="32">
        <f>BJ15</f>
        <v>508157.69999999995</v>
      </c>
      <c r="BQ15" s="32"/>
    </row>
    <row r="16" spans="1:69" x14ac:dyDescent="0.5">
      <c r="A16" s="61">
        <v>10</v>
      </c>
      <c r="B16" s="81" t="s">
        <v>48</v>
      </c>
      <c r="C16" s="67">
        <v>45</v>
      </c>
      <c r="D16" s="68">
        <f>+'กระดาษทำการ 30 เม.ย.58'!BP20</f>
        <v>0</v>
      </c>
      <c r="E16" s="68">
        <f>+'กระดาษทำการ 30 เม.ย.58'!BQ20</f>
        <v>437849.2</v>
      </c>
      <c r="F16" s="68"/>
      <c r="G16" s="68"/>
      <c r="H16" s="90">
        <f t="shared" si="0"/>
        <v>0</v>
      </c>
      <c r="I16" s="91">
        <f>+E16</f>
        <v>437849.2</v>
      </c>
      <c r="J16" s="68"/>
      <c r="K16" s="68"/>
      <c r="L16" s="91"/>
      <c r="M16" s="91">
        <f>+I16</f>
        <v>437849.2</v>
      </c>
      <c r="N16" s="68"/>
      <c r="O16" s="68"/>
      <c r="P16" s="90">
        <f t="shared" si="6"/>
        <v>0</v>
      </c>
      <c r="Q16" s="91">
        <f>+M16</f>
        <v>437849.2</v>
      </c>
      <c r="R16" s="68"/>
      <c r="S16" s="68"/>
      <c r="T16" s="91"/>
      <c r="U16" s="91">
        <f>+Q16</f>
        <v>437849.2</v>
      </c>
      <c r="V16" s="68"/>
      <c r="W16" s="68"/>
      <c r="X16" s="91">
        <f>+T16+V16-W16</f>
        <v>0</v>
      </c>
      <c r="Y16" s="91">
        <f>+U16</f>
        <v>437849.2</v>
      </c>
      <c r="Z16" s="68"/>
      <c r="AA16" s="68"/>
      <c r="AB16" s="90">
        <f t="shared" si="1"/>
        <v>0</v>
      </c>
      <c r="AC16" s="91">
        <f>+Y16</f>
        <v>437849.2</v>
      </c>
      <c r="AD16" s="68"/>
      <c r="AE16" s="68"/>
      <c r="AF16" s="90">
        <f t="shared" si="2"/>
        <v>0</v>
      </c>
      <c r="AG16" s="91">
        <f>+AC16</f>
        <v>437849.2</v>
      </c>
      <c r="AH16" s="68"/>
      <c r="AI16" s="68"/>
      <c r="AJ16" s="90">
        <f t="shared" si="7"/>
        <v>0</v>
      </c>
      <c r="AK16" s="91">
        <f t="shared" si="9"/>
        <v>437849.2</v>
      </c>
      <c r="AL16" s="68"/>
      <c r="AM16" s="68"/>
      <c r="AN16" s="91"/>
      <c r="AO16" s="91">
        <f>+AK16</f>
        <v>437849.2</v>
      </c>
      <c r="AP16" s="68"/>
      <c r="AQ16" s="68"/>
      <c r="AR16" s="90">
        <f t="shared" si="3"/>
        <v>0</v>
      </c>
      <c r="AS16" s="91">
        <f>+AO16+AQ16-AP16</f>
        <v>437849.2</v>
      </c>
      <c r="AT16" s="68"/>
      <c r="AU16" s="68"/>
      <c r="AV16" s="62">
        <f t="shared" si="4"/>
        <v>0</v>
      </c>
      <c r="AW16" s="68">
        <f>+AS16</f>
        <v>437849.2</v>
      </c>
      <c r="AX16" s="68"/>
      <c r="AY16" s="68"/>
      <c r="AZ16" s="68"/>
      <c r="BA16" s="68"/>
      <c r="BB16" s="68"/>
      <c r="BC16" s="68"/>
      <c r="BD16" s="68"/>
      <c r="BE16" s="68">
        <f>E16+BC16-BB16</f>
        <v>437849.2</v>
      </c>
      <c r="BF16" s="31">
        <v>3</v>
      </c>
      <c r="BG16" s="32">
        <v>36171.5</v>
      </c>
      <c r="BH16" s="27"/>
      <c r="BI16" s="32"/>
      <c r="BJ16" s="32"/>
      <c r="BK16" s="32">
        <f>BE16+BI16-BG16</f>
        <v>401677.7</v>
      </c>
      <c r="BL16" s="32"/>
      <c r="BM16" s="32"/>
      <c r="BN16" s="32"/>
      <c r="BO16" s="32"/>
      <c r="BP16" s="32"/>
      <c r="BQ16" s="32">
        <f>BK16</f>
        <v>401677.7</v>
      </c>
    </row>
    <row r="17" spans="1:69" x14ac:dyDescent="0.5">
      <c r="A17" s="61">
        <v>11</v>
      </c>
      <c r="B17" s="81" t="s">
        <v>135</v>
      </c>
      <c r="C17" s="67">
        <v>147</v>
      </c>
      <c r="D17" s="68">
        <f>+'กระดาษทำการ 30 เม.ย.58'!BP21</f>
        <v>0</v>
      </c>
      <c r="E17" s="68">
        <f>+'กระดาษทำการ 30 เม.ย.58'!BQ21</f>
        <v>0</v>
      </c>
      <c r="F17" s="68"/>
      <c r="G17" s="68"/>
      <c r="H17" s="90">
        <f t="shared" si="0"/>
        <v>0</v>
      </c>
      <c r="I17" s="91"/>
      <c r="J17" s="68"/>
      <c r="K17" s="68"/>
      <c r="L17" s="91"/>
      <c r="M17" s="91"/>
      <c r="N17" s="68"/>
      <c r="O17" s="68"/>
      <c r="P17" s="90">
        <f t="shared" si="6"/>
        <v>0</v>
      </c>
      <c r="Q17" s="91"/>
      <c r="R17" s="68"/>
      <c r="S17" s="68"/>
      <c r="T17" s="91">
        <f>+P17+R17-S17</f>
        <v>0</v>
      </c>
      <c r="U17" s="91"/>
      <c r="V17" s="68"/>
      <c r="W17" s="68"/>
      <c r="X17" s="91">
        <f>+T17+V17-W17</f>
        <v>0</v>
      </c>
      <c r="Y17" s="91"/>
      <c r="Z17" s="68"/>
      <c r="AA17" s="68"/>
      <c r="AB17" s="90">
        <f t="shared" si="1"/>
        <v>0</v>
      </c>
      <c r="AC17" s="91"/>
      <c r="AD17" s="68"/>
      <c r="AE17" s="68"/>
      <c r="AF17" s="90">
        <f t="shared" si="2"/>
        <v>0</v>
      </c>
      <c r="AG17" s="91"/>
      <c r="AH17" s="68"/>
      <c r="AI17" s="68"/>
      <c r="AJ17" s="90">
        <f t="shared" si="7"/>
        <v>0</v>
      </c>
      <c r="AK17" s="91">
        <f t="shared" si="9"/>
        <v>0</v>
      </c>
      <c r="AL17" s="68"/>
      <c r="AM17" s="68"/>
      <c r="AN17" s="91"/>
      <c r="AO17" s="91"/>
      <c r="AP17" s="68"/>
      <c r="AQ17" s="68"/>
      <c r="AR17" s="90">
        <f t="shared" si="3"/>
        <v>0</v>
      </c>
      <c r="AS17" s="91">
        <f t="shared" ref="AS17:AS31" si="11">+AO17+AQ17-AP17</f>
        <v>0</v>
      </c>
      <c r="AT17" s="68"/>
      <c r="AU17" s="68"/>
      <c r="AV17" s="62">
        <f t="shared" si="4"/>
        <v>0</v>
      </c>
      <c r="AW17" s="68">
        <f t="shared" ref="AW17" si="12">+AR17+AT17-AU17</f>
        <v>0</v>
      </c>
      <c r="AX17" s="68"/>
      <c r="AY17" s="68"/>
      <c r="AZ17" s="68"/>
      <c r="BA17" s="68"/>
      <c r="BB17" s="68"/>
      <c r="BC17" s="68"/>
      <c r="BD17" s="68">
        <f>D17+BB17-BC17</f>
        <v>0</v>
      </c>
      <c r="BE17" s="68"/>
      <c r="BF17" s="31"/>
      <c r="BG17" s="32"/>
      <c r="BH17" s="27"/>
      <c r="BI17" s="32"/>
      <c r="BJ17" s="32">
        <f>BD17+BG17-BI17</f>
        <v>0</v>
      </c>
      <c r="BK17" s="32"/>
      <c r="BL17" s="32">
        <f>BJ17</f>
        <v>0</v>
      </c>
      <c r="BM17" s="32"/>
      <c r="BN17" s="32"/>
      <c r="BO17" s="32"/>
      <c r="BP17" s="32"/>
      <c r="BQ17" s="32"/>
    </row>
    <row r="18" spans="1:69" x14ac:dyDescent="0.5">
      <c r="A18" s="61">
        <v>12</v>
      </c>
      <c r="B18" s="81" t="s">
        <v>7</v>
      </c>
      <c r="C18" s="67">
        <v>53</v>
      </c>
      <c r="D18" s="68">
        <f>+'กระดาษทำการ 30 เม.ย.58'!BP22</f>
        <v>45031</v>
      </c>
      <c r="E18" s="68">
        <f>+'กระดาษทำการ 30 เม.ย.58'!BQ22</f>
        <v>0</v>
      </c>
      <c r="F18" s="68"/>
      <c r="G18" s="68"/>
      <c r="H18" s="90">
        <f t="shared" si="0"/>
        <v>45031</v>
      </c>
      <c r="I18" s="91"/>
      <c r="J18" s="68"/>
      <c r="K18" s="68"/>
      <c r="L18" s="91">
        <f>+H18+J18-K18</f>
        <v>45031</v>
      </c>
      <c r="M18" s="91"/>
      <c r="N18" s="68"/>
      <c r="O18" s="68"/>
      <c r="P18" s="90">
        <f t="shared" si="6"/>
        <v>45031</v>
      </c>
      <c r="Q18" s="91"/>
      <c r="R18" s="68"/>
      <c r="S18" s="68"/>
      <c r="T18" s="91">
        <f>+P18+R18-S18</f>
        <v>45031</v>
      </c>
      <c r="U18" s="91"/>
      <c r="V18" s="68"/>
      <c r="W18" s="68"/>
      <c r="X18" s="91">
        <f>+T18+V18-W18</f>
        <v>45031</v>
      </c>
      <c r="Y18" s="91"/>
      <c r="Z18" s="68"/>
      <c r="AA18" s="68"/>
      <c r="AB18" s="90">
        <f t="shared" si="1"/>
        <v>45031</v>
      </c>
      <c r="AC18" s="91"/>
      <c r="AD18" s="68"/>
      <c r="AE18" s="68"/>
      <c r="AF18" s="90">
        <f t="shared" si="2"/>
        <v>45031</v>
      </c>
      <c r="AG18" s="91"/>
      <c r="AH18" s="68"/>
      <c r="AI18" s="68"/>
      <c r="AJ18" s="90">
        <f t="shared" si="7"/>
        <v>45031</v>
      </c>
      <c r="AK18" s="91">
        <f t="shared" si="9"/>
        <v>0</v>
      </c>
      <c r="AL18" s="68"/>
      <c r="AM18" s="68"/>
      <c r="AN18" s="91">
        <f>+AJ18</f>
        <v>45031</v>
      </c>
      <c r="AO18" s="91"/>
      <c r="AP18" s="68"/>
      <c r="AQ18" s="68"/>
      <c r="AR18" s="90">
        <f t="shared" si="3"/>
        <v>45031</v>
      </c>
      <c r="AS18" s="91">
        <f t="shared" si="11"/>
        <v>0</v>
      </c>
      <c r="AT18" s="68"/>
      <c r="AU18" s="68"/>
      <c r="AV18" s="62">
        <f t="shared" si="4"/>
        <v>45031</v>
      </c>
      <c r="AW18" s="68"/>
      <c r="AX18" s="68"/>
      <c r="AY18" s="68"/>
      <c r="AZ18" s="68"/>
      <c r="BA18" s="68"/>
      <c r="BB18" s="68"/>
      <c r="BC18" s="68"/>
      <c r="BD18" s="68">
        <f>D18+BB18-BC18</f>
        <v>45031</v>
      </c>
      <c r="BE18" s="68"/>
      <c r="BF18" s="31"/>
      <c r="BG18" s="32"/>
      <c r="BH18" s="27"/>
      <c r="BI18" s="32"/>
      <c r="BJ18" s="32">
        <f>BD18+BG18-BI18</f>
        <v>45031</v>
      </c>
      <c r="BK18" s="32"/>
      <c r="BL18" s="32"/>
      <c r="BM18" s="32"/>
      <c r="BN18" s="32"/>
      <c r="BO18" s="32"/>
      <c r="BP18" s="32">
        <f>BJ18</f>
        <v>45031</v>
      </c>
      <c r="BQ18" s="32"/>
    </row>
    <row r="19" spans="1:69" x14ac:dyDescent="0.5">
      <c r="A19" s="61">
        <v>13</v>
      </c>
      <c r="B19" s="81" t="s">
        <v>49</v>
      </c>
      <c r="C19" s="67">
        <v>55</v>
      </c>
      <c r="D19" s="68">
        <f>+'กระดาษทำการ 30 เม.ย.58'!BP23</f>
        <v>0</v>
      </c>
      <c r="E19" s="68">
        <f>+'กระดาษทำการ 30 เม.ย.58'!BQ23</f>
        <v>45031</v>
      </c>
      <c r="F19" s="68"/>
      <c r="G19" s="68"/>
      <c r="H19" s="90">
        <f t="shared" si="0"/>
        <v>0</v>
      </c>
      <c r="I19" s="91">
        <f>+E19</f>
        <v>45031</v>
      </c>
      <c r="J19" s="68"/>
      <c r="K19" s="68"/>
      <c r="L19" s="91">
        <f t="shared" ref="L19:L27" si="13">+H19+J19-K19</f>
        <v>0</v>
      </c>
      <c r="M19" s="91">
        <f>+I19</f>
        <v>45031</v>
      </c>
      <c r="N19" s="68"/>
      <c r="O19" s="68"/>
      <c r="P19" s="90">
        <f t="shared" si="6"/>
        <v>0</v>
      </c>
      <c r="Q19" s="91">
        <f>+M19</f>
        <v>45031</v>
      </c>
      <c r="R19" s="68"/>
      <c r="S19" s="68"/>
      <c r="T19" s="91"/>
      <c r="U19" s="91">
        <f>+Q19</f>
        <v>45031</v>
      </c>
      <c r="V19" s="68"/>
      <c r="W19" s="68"/>
      <c r="X19" s="91"/>
      <c r="Y19" s="91">
        <f>+U19+W19-V19</f>
        <v>45031</v>
      </c>
      <c r="Z19" s="68"/>
      <c r="AA19" s="68"/>
      <c r="AB19" s="90">
        <f t="shared" si="1"/>
        <v>0</v>
      </c>
      <c r="AC19" s="91">
        <f>+Y19</f>
        <v>45031</v>
      </c>
      <c r="AD19" s="68"/>
      <c r="AE19" s="68"/>
      <c r="AF19" s="90">
        <f t="shared" si="2"/>
        <v>0</v>
      </c>
      <c r="AG19" s="91">
        <f>+AC19</f>
        <v>45031</v>
      </c>
      <c r="AH19" s="68"/>
      <c r="AI19" s="68"/>
      <c r="AJ19" s="90">
        <f t="shared" si="7"/>
        <v>0</v>
      </c>
      <c r="AK19" s="91">
        <f t="shared" si="9"/>
        <v>45031</v>
      </c>
      <c r="AL19" s="68"/>
      <c r="AM19" s="68"/>
      <c r="AN19" s="91">
        <f t="shared" ref="AN19:AN26" si="14">+AJ19</f>
        <v>0</v>
      </c>
      <c r="AO19" s="91">
        <f>+AK19</f>
        <v>45031</v>
      </c>
      <c r="AP19" s="68"/>
      <c r="AQ19" s="68"/>
      <c r="AR19" s="90">
        <f t="shared" si="3"/>
        <v>0</v>
      </c>
      <c r="AS19" s="91">
        <f t="shared" si="11"/>
        <v>45031</v>
      </c>
      <c r="AT19" s="68"/>
      <c r="AU19" s="68"/>
      <c r="AV19" s="62">
        <f t="shared" si="4"/>
        <v>0</v>
      </c>
      <c r="AW19" s="68">
        <f>+AS19</f>
        <v>45031</v>
      </c>
      <c r="AX19" s="68"/>
      <c r="AY19" s="68"/>
      <c r="AZ19" s="68"/>
      <c r="BA19" s="68"/>
      <c r="BB19" s="68"/>
      <c r="BC19" s="68"/>
      <c r="BD19" s="68"/>
      <c r="BE19" s="68">
        <f>E19+BC19-BB19</f>
        <v>45031</v>
      </c>
      <c r="BF19" s="31"/>
      <c r="BG19" s="32"/>
      <c r="BH19" s="27"/>
      <c r="BI19" s="32"/>
      <c r="BJ19" s="32"/>
      <c r="BK19" s="32">
        <f>BE19+BI19-BG19</f>
        <v>45031</v>
      </c>
      <c r="BL19" s="32"/>
      <c r="BM19" s="32"/>
      <c r="BN19" s="32"/>
      <c r="BO19" s="32"/>
      <c r="BP19" s="32"/>
      <c r="BQ19" s="32">
        <f>BK19</f>
        <v>45031</v>
      </c>
    </row>
    <row r="20" spans="1:69" x14ac:dyDescent="0.5">
      <c r="A20" s="61">
        <v>14</v>
      </c>
      <c r="B20" s="81" t="s">
        <v>77</v>
      </c>
      <c r="C20" s="67"/>
      <c r="D20" s="68">
        <f>+'กระดาษทำการ 30 เม.ย.58'!BP24</f>
        <v>0</v>
      </c>
      <c r="E20" s="68">
        <f>+'กระดาษทำการ 30 เม.ย.58'!BQ24</f>
        <v>0</v>
      </c>
      <c r="F20" s="68"/>
      <c r="G20" s="68"/>
      <c r="H20" s="90">
        <f t="shared" si="0"/>
        <v>0</v>
      </c>
      <c r="I20" s="91"/>
      <c r="J20" s="68"/>
      <c r="K20" s="68"/>
      <c r="L20" s="91">
        <f t="shared" si="13"/>
        <v>0</v>
      </c>
      <c r="M20" s="91"/>
      <c r="N20" s="68"/>
      <c r="O20" s="68"/>
      <c r="P20" s="90">
        <f t="shared" si="6"/>
        <v>0</v>
      </c>
      <c r="Q20" s="91"/>
      <c r="R20" s="68"/>
      <c r="S20" s="68"/>
      <c r="T20" s="91"/>
      <c r="U20" s="91"/>
      <c r="V20" s="68"/>
      <c r="W20" s="68"/>
      <c r="X20" s="91"/>
      <c r="Y20" s="91"/>
      <c r="Z20" s="68"/>
      <c r="AA20" s="68"/>
      <c r="AB20" s="90">
        <f t="shared" si="1"/>
        <v>0</v>
      </c>
      <c r="AC20" s="91"/>
      <c r="AD20" s="68"/>
      <c r="AE20" s="68"/>
      <c r="AF20" s="90">
        <f t="shared" si="2"/>
        <v>0</v>
      </c>
      <c r="AG20" s="91"/>
      <c r="AH20" s="68"/>
      <c r="AI20" s="68"/>
      <c r="AJ20" s="90">
        <f t="shared" si="7"/>
        <v>0</v>
      </c>
      <c r="AK20" s="91">
        <f t="shared" si="9"/>
        <v>0</v>
      </c>
      <c r="AL20" s="68"/>
      <c r="AM20" s="68"/>
      <c r="AN20" s="91">
        <f t="shared" si="14"/>
        <v>0</v>
      </c>
      <c r="AO20" s="91"/>
      <c r="AP20" s="68"/>
      <c r="AQ20" s="68"/>
      <c r="AR20" s="90">
        <f t="shared" si="3"/>
        <v>0</v>
      </c>
      <c r="AS20" s="91">
        <f t="shared" si="11"/>
        <v>0</v>
      </c>
      <c r="AT20" s="68"/>
      <c r="AU20" s="68"/>
      <c r="AV20" s="62">
        <f t="shared" si="4"/>
        <v>0</v>
      </c>
      <c r="AW20" s="68"/>
      <c r="AX20" s="68"/>
      <c r="AY20" s="68"/>
      <c r="AZ20" s="68"/>
      <c r="BA20" s="68"/>
      <c r="BB20" s="68"/>
      <c r="BC20" s="68"/>
      <c r="BD20" s="68"/>
      <c r="BE20" s="68">
        <f>E20</f>
        <v>0</v>
      </c>
      <c r="BF20" s="31">
        <v>13</v>
      </c>
      <c r="BG20" s="32">
        <v>2978</v>
      </c>
      <c r="BH20" s="27"/>
      <c r="BI20" s="32"/>
      <c r="BJ20" s="32"/>
      <c r="BK20" s="32"/>
      <c r="BL20" s="32"/>
      <c r="BM20" s="32"/>
      <c r="BN20" s="32"/>
      <c r="BO20" s="32"/>
      <c r="BP20" s="32"/>
      <c r="BQ20" s="32"/>
    </row>
    <row r="21" spans="1:69" x14ac:dyDescent="0.5">
      <c r="A21" s="61">
        <v>15</v>
      </c>
      <c r="B21" s="81" t="s">
        <v>50</v>
      </c>
      <c r="C21" s="67"/>
      <c r="D21" s="68">
        <f>+'กระดาษทำการ 30 เม.ย.58'!BP25</f>
        <v>5387</v>
      </c>
      <c r="E21" s="68">
        <f>+'กระดาษทำการ 30 เม.ย.58'!BQ25</f>
        <v>0</v>
      </c>
      <c r="F21" s="68"/>
      <c r="G21" s="68"/>
      <c r="H21" s="90">
        <f t="shared" si="0"/>
        <v>5387</v>
      </c>
      <c r="I21" s="91"/>
      <c r="J21" s="68"/>
      <c r="K21" s="68"/>
      <c r="L21" s="91">
        <f t="shared" si="13"/>
        <v>5387</v>
      </c>
      <c r="M21" s="91"/>
      <c r="N21" s="68"/>
      <c r="O21" s="68"/>
      <c r="P21" s="90">
        <f t="shared" si="6"/>
        <v>5387</v>
      </c>
      <c r="Q21" s="91"/>
      <c r="R21" s="68"/>
      <c r="S21" s="68"/>
      <c r="T21" s="91">
        <f>+P21+R21-S21</f>
        <v>5387</v>
      </c>
      <c r="U21" s="91"/>
      <c r="V21" s="68"/>
      <c r="W21" s="68"/>
      <c r="X21" s="91">
        <f>+T21+V21-W21</f>
        <v>5387</v>
      </c>
      <c r="Y21" s="91"/>
      <c r="Z21" s="68"/>
      <c r="AA21" s="68"/>
      <c r="AB21" s="90">
        <f t="shared" si="1"/>
        <v>5387</v>
      </c>
      <c r="AC21" s="91"/>
      <c r="AD21" s="68"/>
      <c r="AE21" s="68"/>
      <c r="AF21" s="90">
        <f t="shared" si="2"/>
        <v>5387</v>
      </c>
      <c r="AG21" s="91"/>
      <c r="AH21" s="68"/>
      <c r="AI21" s="68"/>
      <c r="AJ21" s="90">
        <f t="shared" si="7"/>
        <v>5387</v>
      </c>
      <c r="AK21" s="91">
        <f t="shared" si="9"/>
        <v>0</v>
      </c>
      <c r="AL21" s="68"/>
      <c r="AM21" s="68"/>
      <c r="AN21" s="91">
        <f t="shared" si="14"/>
        <v>5387</v>
      </c>
      <c r="AO21" s="91"/>
      <c r="AP21" s="68"/>
      <c r="AQ21" s="68"/>
      <c r="AR21" s="90">
        <f t="shared" si="3"/>
        <v>5387</v>
      </c>
      <c r="AS21" s="91">
        <f t="shared" si="11"/>
        <v>0</v>
      </c>
      <c r="AT21" s="68"/>
      <c r="AU21" s="68"/>
      <c r="AV21" s="62">
        <f t="shared" si="4"/>
        <v>5387</v>
      </c>
      <c r="AW21" s="68"/>
      <c r="AX21" s="68"/>
      <c r="AY21" s="68"/>
      <c r="AZ21" s="68"/>
      <c r="BA21" s="68"/>
      <c r="BB21" s="68"/>
      <c r="BC21" s="68"/>
      <c r="BD21" s="68">
        <f t="shared" si="10"/>
        <v>5387</v>
      </c>
      <c r="BE21" s="68"/>
      <c r="BF21" s="31"/>
      <c r="BG21" s="32"/>
      <c r="BH21" s="27"/>
      <c r="BI21" s="32"/>
      <c r="BJ21" s="32">
        <f>BD21+BG21-BI21</f>
        <v>5387</v>
      </c>
      <c r="BK21" s="32"/>
      <c r="BL21" s="32"/>
      <c r="BM21" s="32"/>
      <c r="BN21" s="32"/>
      <c r="BO21" s="32"/>
      <c r="BP21" s="32">
        <f t="shared" ref="BP21:BP30" si="15">BJ21</f>
        <v>5387</v>
      </c>
      <c r="BQ21" s="32"/>
    </row>
    <row r="22" spans="1:69" x14ac:dyDescent="0.5">
      <c r="A22" s="61">
        <v>16</v>
      </c>
      <c r="B22" s="81" t="s">
        <v>8</v>
      </c>
      <c r="C22" s="67">
        <v>63</v>
      </c>
      <c r="D22" s="68">
        <f>+'กระดาษทำการ 30 เม.ย.58'!BP26</f>
        <v>1222</v>
      </c>
      <c r="E22" s="68">
        <f>+'กระดาษทำการ 30 เม.ย.58'!BQ26</f>
        <v>0</v>
      </c>
      <c r="F22" s="68"/>
      <c r="G22" s="68"/>
      <c r="H22" s="90">
        <f t="shared" si="0"/>
        <v>1222</v>
      </c>
      <c r="I22" s="91"/>
      <c r="J22" s="68"/>
      <c r="K22" s="68"/>
      <c r="L22" s="91">
        <f t="shared" si="13"/>
        <v>1222</v>
      </c>
      <c r="M22" s="91"/>
      <c r="N22" s="68"/>
      <c r="O22" s="68"/>
      <c r="P22" s="90">
        <f t="shared" si="6"/>
        <v>1222</v>
      </c>
      <c r="Q22" s="91"/>
      <c r="R22" s="68"/>
      <c r="S22" s="68"/>
      <c r="T22" s="91">
        <f t="shared" ref="T22:T29" si="16">+P22+R22-S22</f>
        <v>1222</v>
      </c>
      <c r="U22" s="91"/>
      <c r="V22" s="68"/>
      <c r="W22" s="68"/>
      <c r="X22" s="91">
        <f>+T22+V22-W22</f>
        <v>1222</v>
      </c>
      <c r="Y22" s="91"/>
      <c r="Z22" s="68"/>
      <c r="AA22" s="68"/>
      <c r="AB22" s="90">
        <f t="shared" si="1"/>
        <v>1222</v>
      </c>
      <c r="AC22" s="91"/>
      <c r="AD22" s="68"/>
      <c r="AE22" s="68"/>
      <c r="AF22" s="90">
        <f t="shared" si="2"/>
        <v>1222</v>
      </c>
      <c r="AG22" s="91"/>
      <c r="AH22" s="68"/>
      <c r="AI22" s="68"/>
      <c r="AJ22" s="90">
        <f t="shared" si="7"/>
        <v>1222</v>
      </c>
      <c r="AK22" s="91">
        <f t="shared" si="9"/>
        <v>0</v>
      </c>
      <c r="AL22" s="68"/>
      <c r="AM22" s="68"/>
      <c r="AN22" s="91">
        <f t="shared" si="14"/>
        <v>1222</v>
      </c>
      <c r="AO22" s="91"/>
      <c r="AP22" s="68"/>
      <c r="AQ22" s="68"/>
      <c r="AR22" s="90">
        <f t="shared" si="3"/>
        <v>1222</v>
      </c>
      <c r="AS22" s="91">
        <f t="shared" si="11"/>
        <v>0</v>
      </c>
      <c r="AT22" s="68"/>
      <c r="AU22" s="68"/>
      <c r="AV22" s="62">
        <f t="shared" si="4"/>
        <v>1222</v>
      </c>
      <c r="AW22" s="68"/>
      <c r="AX22" s="68"/>
      <c r="AY22" s="68"/>
      <c r="AZ22" s="68"/>
      <c r="BA22" s="68"/>
      <c r="BB22" s="68"/>
      <c r="BC22" s="68"/>
      <c r="BD22" s="68">
        <f t="shared" si="10"/>
        <v>1222</v>
      </c>
      <c r="BE22" s="68"/>
      <c r="BF22" s="31"/>
      <c r="BG22" s="32"/>
      <c r="BH22" s="27"/>
      <c r="BI22" s="32"/>
      <c r="BJ22" s="32">
        <f>BD22+BG22-BI22</f>
        <v>1222</v>
      </c>
      <c r="BK22" s="32"/>
      <c r="BL22" s="32"/>
      <c r="BM22" s="32"/>
      <c r="BN22" s="32"/>
      <c r="BO22" s="32"/>
      <c r="BP22" s="32">
        <f t="shared" si="15"/>
        <v>1222</v>
      </c>
      <c r="BQ22" s="32"/>
    </row>
    <row r="23" spans="1:69" x14ac:dyDescent="0.5">
      <c r="A23" s="61">
        <v>17</v>
      </c>
      <c r="B23" s="81" t="s">
        <v>51</v>
      </c>
      <c r="C23" s="67">
        <v>175</v>
      </c>
      <c r="D23" s="68">
        <f>+'กระดาษทำการ 30 เม.ย.58'!BP27</f>
        <v>0</v>
      </c>
      <c r="E23" s="68">
        <f>+'กระดาษทำการ 30 เม.ย.58'!BQ27</f>
        <v>0</v>
      </c>
      <c r="F23" s="68"/>
      <c r="G23" s="68"/>
      <c r="H23" s="90">
        <f t="shared" si="0"/>
        <v>0</v>
      </c>
      <c r="I23" s="91"/>
      <c r="J23" s="68"/>
      <c r="K23" s="68"/>
      <c r="L23" s="91">
        <f t="shared" si="13"/>
        <v>0</v>
      </c>
      <c r="M23" s="91"/>
      <c r="N23" s="68"/>
      <c r="O23" s="68"/>
      <c r="P23" s="90">
        <f t="shared" si="6"/>
        <v>0</v>
      </c>
      <c r="Q23" s="91"/>
      <c r="R23" s="68"/>
      <c r="S23" s="68"/>
      <c r="T23" s="91">
        <f t="shared" si="16"/>
        <v>0</v>
      </c>
      <c r="U23" s="91"/>
      <c r="V23" s="68"/>
      <c r="W23" s="68"/>
      <c r="X23" s="91">
        <f t="shared" ref="X23:X30" si="17">+T23+V23-W23</f>
        <v>0</v>
      </c>
      <c r="Y23" s="91"/>
      <c r="Z23" s="68"/>
      <c r="AA23" s="68"/>
      <c r="AB23" s="90">
        <f t="shared" si="1"/>
        <v>0</v>
      </c>
      <c r="AC23" s="91"/>
      <c r="AD23" s="68"/>
      <c r="AE23" s="68"/>
      <c r="AF23" s="90">
        <f t="shared" si="2"/>
        <v>0</v>
      </c>
      <c r="AG23" s="91"/>
      <c r="AH23" s="68"/>
      <c r="AI23" s="68"/>
      <c r="AJ23" s="90">
        <f t="shared" si="7"/>
        <v>0</v>
      </c>
      <c r="AK23" s="91">
        <f t="shared" si="9"/>
        <v>0</v>
      </c>
      <c r="AL23" s="68"/>
      <c r="AM23" s="68"/>
      <c r="AN23" s="91">
        <f t="shared" si="14"/>
        <v>0</v>
      </c>
      <c r="AO23" s="91"/>
      <c r="AP23" s="68"/>
      <c r="AQ23" s="68"/>
      <c r="AR23" s="90">
        <f t="shared" si="3"/>
        <v>0</v>
      </c>
      <c r="AS23" s="91">
        <f t="shared" si="11"/>
        <v>0</v>
      </c>
      <c r="AT23" s="68"/>
      <c r="AU23" s="68"/>
      <c r="AV23" s="62">
        <f t="shared" ref="AV23:AV35" si="18">+AR23+AT23-AU23</f>
        <v>0</v>
      </c>
      <c r="AW23" s="68"/>
      <c r="AX23" s="68"/>
      <c r="AY23" s="68"/>
      <c r="AZ23" s="68"/>
      <c r="BA23" s="68"/>
      <c r="BB23" s="68"/>
      <c r="BC23" s="68"/>
      <c r="BD23" s="68">
        <f t="shared" si="10"/>
        <v>0</v>
      </c>
      <c r="BE23" s="68"/>
      <c r="BF23" s="31"/>
      <c r="BG23" s="32"/>
      <c r="BH23" s="27"/>
      <c r="BI23" s="32"/>
      <c r="BJ23" s="32"/>
      <c r="BK23" s="32"/>
      <c r="BL23" s="32"/>
      <c r="BM23" s="32"/>
      <c r="BN23" s="32"/>
      <c r="BO23" s="32"/>
      <c r="BP23" s="32">
        <f t="shared" si="15"/>
        <v>0</v>
      </c>
      <c r="BQ23" s="32"/>
    </row>
    <row r="24" spans="1:69" x14ac:dyDescent="0.5">
      <c r="A24" s="67">
        <v>18</v>
      </c>
      <c r="B24" s="81" t="s">
        <v>52</v>
      </c>
      <c r="C24" s="67">
        <v>71</v>
      </c>
      <c r="D24" s="68">
        <f>+'กระดาษทำการ 30 เม.ย.58'!BP28</f>
        <v>10000</v>
      </c>
      <c r="E24" s="68">
        <f>+'กระดาษทำการ 30 เม.ย.58'!BQ28</f>
        <v>0</v>
      </c>
      <c r="F24" s="68"/>
      <c r="G24" s="68"/>
      <c r="H24" s="91">
        <f t="shared" si="0"/>
        <v>10000</v>
      </c>
      <c r="I24" s="91"/>
      <c r="J24" s="68"/>
      <c r="K24" s="68"/>
      <c r="L24" s="91">
        <f t="shared" si="13"/>
        <v>10000</v>
      </c>
      <c r="M24" s="91"/>
      <c r="N24" s="68"/>
      <c r="O24" s="68"/>
      <c r="P24" s="91">
        <f t="shared" si="6"/>
        <v>10000</v>
      </c>
      <c r="Q24" s="91"/>
      <c r="R24" s="68"/>
      <c r="S24" s="68"/>
      <c r="T24" s="91">
        <f t="shared" si="16"/>
        <v>10000</v>
      </c>
      <c r="U24" s="91"/>
      <c r="V24" s="68"/>
      <c r="W24" s="68"/>
      <c r="X24" s="91">
        <f t="shared" si="17"/>
        <v>10000</v>
      </c>
      <c r="Y24" s="91"/>
      <c r="Z24" s="68"/>
      <c r="AA24" s="68"/>
      <c r="AB24" s="91">
        <f t="shared" si="1"/>
        <v>10000</v>
      </c>
      <c r="AC24" s="91"/>
      <c r="AD24" s="68"/>
      <c r="AE24" s="68"/>
      <c r="AF24" s="91">
        <f t="shared" si="2"/>
        <v>10000</v>
      </c>
      <c r="AG24" s="91"/>
      <c r="AH24" s="68"/>
      <c r="AI24" s="68"/>
      <c r="AJ24" s="91">
        <f t="shared" si="7"/>
        <v>10000</v>
      </c>
      <c r="AK24" s="91">
        <f t="shared" si="9"/>
        <v>0</v>
      </c>
      <c r="AL24" s="68"/>
      <c r="AM24" s="68"/>
      <c r="AN24" s="91">
        <f t="shared" si="14"/>
        <v>10000</v>
      </c>
      <c r="AO24" s="91"/>
      <c r="AP24" s="68"/>
      <c r="AQ24" s="68"/>
      <c r="AR24" s="91">
        <f t="shared" si="3"/>
        <v>10000</v>
      </c>
      <c r="AS24" s="91">
        <f t="shared" si="11"/>
        <v>0</v>
      </c>
      <c r="AT24" s="68"/>
      <c r="AU24" s="68"/>
      <c r="AV24" s="68">
        <f t="shared" si="18"/>
        <v>10000</v>
      </c>
      <c r="AW24" s="68"/>
      <c r="AX24" s="68"/>
      <c r="AY24" s="68"/>
      <c r="AZ24" s="68"/>
      <c r="BA24" s="68"/>
      <c r="BB24" s="68"/>
      <c r="BC24" s="68"/>
      <c r="BD24" s="68">
        <f t="shared" si="10"/>
        <v>10000</v>
      </c>
      <c r="BE24" s="68"/>
      <c r="BF24" s="31"/>
      <c r="BG24" s="32"/>
      <c r="BH24" s="27"/>
      <c r="BI24" s="32"/>
      <c r="BJ24" s="32">
        <f>BD24+BG24-BI24</f>
        <v>10000</v>
      </c>
      <c r="BK24" s="32"/>
      <c r="BL24" s="32"/>
      <c r="BM24" s="32"/>
      <c r="BN24" s="32"/>
      <c r="BO24" s="32"/>
      <c r="BP24" s="32">
        <f t="shared" si="15"/>
        <v>10000</v>
      </c>
      <c r="BQ24" s="32"/>
    </row>
    <row r="25" spans="1:69" x14ac:dyDescent="0.5">
      <c r="A25" s="61">
        <v>19</v>
      </c>
      <c r="B25" s="81" t="s">
        <v>21</v>
      </c>
      <c r="C25" s="67">
        <v>75</v>
      </c>
      <c r="D25" s="68">
        <f>+'กระดาษทำการ 30 เม.ย.58'!BP29</f>
        <v>18199.669999999998</v>
      </c>
      <c r="E25" s="68">
        <f>+'กระดาษทำการ 30 เม.ย.58'!BQ29</f>
        <v>0</v>
      </c>
      <c r="F25" s="76">
        <v>3500</v>
      </c>
      <c r="G25" s="76"/>
      <c r="H25" s="90">
        <f t="shared" si="0"/>
        <v>21699.67</v>
      </c>
      <c r="I25" s="91"/>
      <c r="J25" s="68"/>
      <c r="K25" s="68"/>
      <c r="L25" s="91">
        <f>+H25+J25-K25</f>
        <v>21699.67</v>
      </c>
      <c r="M25" s="91"/>
      <c r="N25" s="68"/>
      <c r="O25" s="68"/>
      <c r="P25" s="90">
        <f t="shared" si="6"/>
        <v>21699.67</v>
      </c>
      <c r="Q25" s="91"/>
      <c r="R25" s="68"/>
      <c r="S25" s="68"/>
      <c r="T25" s="91">
        <f t="shared" si="16"/>
        <v>21699.67</v>
      </c>
      <c r="U25" s="91"/>
      <c r="V25" s="68"/>
      <c r="W25" s="68"/>
      <c r="X25" s="91">
        <f t="shared" si="17"/>
        <v>21699.67</v>
      </c>
      <c r="Y25" s="91"/>
      <c r="Z25" s="68"/>
      <c r="AA25" s="68"/>
      <c r="AB25" s="90">
        <f t="shared" si="1"/>
        <v>21699.67</v>
      </c>
      <c r="AC25" s="91"/>
      <c r="AD25" s="68"/>
      <c r="AE25" s="68"/>
      <c r="AF25" s="90">
        <f t="shared" si="2"/>
        <v>21699.67</v>
      </c>
      <c r="AG25" s="91"/>
      <c r="AH25" s="68"/>
      <c r="AI25" s="68"/>
      <c r="AJ25" s="90">
        <f t="shared" si="7"/>
        <v>21699.67</v>
      </c>
      <c r="AK25" s="91">
        <f t="shared" si="9"/>
        <v>0</v>
      </c>
      <c r="AL25" s="68"/>
      <c r="AM25" s="68"/>
      <c r="AN25" s="91">
        <f t="shared" si="14"/>
        <v>21699.67</v>
      </c>
      <c r="AO25" s="91"/>
      <c r="AP25" s="68"/>
      <c r="AQ25" s="68"/>
      <c r="AR25" s="90">
        <f t="shared" si="3"/>
        <v>21699.67</v>
      </c>
      <c r="AS25" s="91">
        <f t="shared" si="11"/>
        <v>0</v>
      </c>
      <c r="AT25" s="68"/>
      <c r="AU25" s="68"/>
      <c r="AV25" s="62">
        <f t="shared" si="18"/>
        <v>21699.67</v>
      </c>
      <c r="AW25" s="68"/>
      <c r="AX25" s="68"/>
      <c r="AY25" s="68"/>
      <c r="AZ25" s="68"/>
      <c r="BA25" s="68"/>
      <c r="BB25" s="68"/>
      <c r="BC25" s="68"/>
      <c r="BD25" s="68">
        <f t="shared" si="10"/>
        <v>18199.669999999998</v>
      </c>
      <c r="BE25" s="68"/>
      <c r="BF25" s="31"/>
      <c r="BG25" s="32"/>
      <c r="BH25" s="27">
        <v>4</v>
      </c>
      <c r="BI25" s="32">
        <v>7412</v>
      </c>
      <c r="BJ25" s="32">
        <f>+BD25-BI25</f>
        <v>10787.669999999998</v>
      </c>
      <c r="BK25" s="32"/>
      <c r="BL25" s="32"/>
      <c r="BM25" s="32"/>
      <c r="BN25" s="32"/>
      <c r="BO25" s="32"/>
      <c r="BP25" s="32">
        <f t="shared" si="15"/>
        <v>10787.669999999998</v>
      </c>
      <c r="BQ25" s="32"/>
    </row>
    <row r="26" spans="1:69" x14ac:dyDescent="0.5">
      <c r="A26" s="67">
        <v>20</v>
      </c>
      <c r="B26" s="82" t="s">
        <v>53</v>
      </c>
      <c r="C26" s="67">
        <v>79</v>
      </c>
      <c r="D26" s="68">
        <f>+'กระดาษทำการ 30 เม.ย.58'!BP30</f>
        <v>0</v>
      </c>
      <c r="E26" s="68">
        <f>+'กระดาษทำการ 30 เม.ย.58'!BQ30</f>
        <v>0</v>
      </c>
      <c r="F26" s="68"/>
      <c r="G26" s="68"/>
      <c r="H26" s="91">
        <f t="shared" si="0"/>
        <v>0</v>
      </c>
      <c r="I26" s="91"/>
      <c r="J26" s="68"/>
      <c r="K26" s="68"/>
      <c r="L26" s="91">
        <f t="shared" si="13"/>
        <v>0</v>
      </c>
      <c r="M26" s="91"/>
      <c r="N26" s="68"/>
      <c r="O26" s="68"/>
      <c r="P26" s="91">
        <f t="shared" si="6"/>
        <v>0</v>
      </c>
      <c r="Q26" s="91"/>
      <c r="R26" s="68"/>
      <c r="S26" s="68"/>
      <c r="T26" s="91">
        <f>+P26+R26-S26</f>
        <v>0</v>
      </c>
      <c r="U26" s="91"/>
      <c r="V26" s="68"/>
      <c r="W26" s="68"/>
      <c r="X26" s="91">
        <f t="shared" si="17"/>
        <v>0</v>
      </c>
      <c r="Y26" s="91"/>
      <c r="Z26" s="68"/>
      <c r="AA26" s="68"/>
      <c r="AB26" s="91">
        <f t="shared" si="1"/>
        <v>0</v>
      </c>
      <c r="AC26" s="91"/>
      <c r="AD26" s="68"/>
      <c r="AE26" s="68"/>
      <c r="AF26" s="91">
        <f t="shared" si="2"/>
        <v>0</v>
      </c>
      <c r="AG26" s="91"/>
      <c r="AH26" s="68"/>
      <c r="AI26" s="68"/>
      <c r="AJ26" s="91">
        <f t="shared" si="7"/>
        <v>0</v>
      </c>
      <c r="AK26" s="91">
        <f t="shared" si="9"/>
        <v>0</v>
      </c>
      <c r="AL26" s="68"/>
      <c r="AM26" s="68"/>
      <c r="AN26" s="91">
        <f t="shared" si="14"/>
        <v>0</v>
      </c>
      <c r="AO26" s="91"/>
      <c r="AP26" s="68"/>
      <c r="AQ26" s="68"/>
      <c r="AR26" s="91">
        <f t="shared" si="3"/>
        <v>0</v>
      </c>
      <c r="AS26" s="91">
        <f t="shared" si="11"/>
        <v>0</v>
      </c>
      <c r="AT26" s="68"/>
      <c r="AU26" s="68"/>
      <c r="AV26" s="68">
        <f t="shared" si="18"/>
        <v>0</v>
      </c>
      <c r="AW26" s="68"/>
      <c r="AX26" s="68"/>
      <c r="AY26" s="68"/>
      <c r="AZ26" s="68"/>
      <c r="BA26" s="68"/>
      <c r="BB26" s="68"/>
      <c r="BC26" s="68"/>
      <c r="BD26" s="68">
        <f t="shared" si="10"/>
        <v>0</v>
      </c>
      <c r="BE26" s="68"/>
      <c r="BF26" s="31"/>
      <c r="BG26" s="32"/>
      <c r="BH26" s="27">
        <v>15</v>
      </c>
      <c r="BI26" s="32">
        <v>91440</v>
      </c>
      <c r="BJ26" s="32">
        <f>BD26+BG26-BI26</f>
        <v>-91440</v>
      </c>
      <c r="BK26" s="32"/>
      <c r="BL26" s="32"/>
      <c r="BM26" s="32"/>
      <c r="BN26" s="32"/>
      <c r="BO26" s="32"/>
      <c r="BP26" s="32">
        <f t="shared" si="15"/>
        <v>-91440</v>
      </c>
      <c r="BQ26" s="32"/>
    </row>
    <row r="27" spans="1:69" x14ac:dyDescent="0.5">
      <c r="A27" s="61">
        <v>21</v>
      </c>
      <c r="B27" s="82" t="s">
        <v>101</v>
      </c>
      <c r="C27" s="67"/>
      <c r="D27" s="68">
        <f>+'กระดาษทำการ 30 เม.ย.58'!BP31</f>
        <v>14740</v>
      </c>
      <c r="E27" s="68">
        <f>+'กระดาษทำการ 30 เม.ย.58'!BQ31</f>
        <v>0</v>
      </c>
      <c r="F27" s="68"/>
      <c r="G27" s="68"/>
      <c r="H27" s="90">
        <f t="shared" si="0"/>
        <v>14740</v>
      </c>
      <c r="I27" s="91"/>
      <c r="J27" s="68"/>
      <c r="K27" s="68"/>
      <c r="L27" s="91">
        <f t="shared" si="13"/>
        <v>14740</v>
      </c>
      <c r="M27" s="91"/>
      <c r="N27" s="68"/>
      <c r="O27" s="68"/>
      <c r="P27" s="90">
        <f t="shared" si="6"/>
        <v>14740</v>
      </c>
      <c r="Q27" s="91"/>
      <c r="R27" s="68"/>
      <c r="S27" s="68"/>
      <c r="T27" s="91">
        <f t="shared" si="16"/>
        <v>14740</v>
      </c>
      <c r="U27" s="91"/>
      <c r="V27" s="68"/>
      <c r="W27" s="68"/>
      <c r="X27" s="91">
        <f>+T27+V27-W27</f>
        <v>14740</v>
      </c>
      <c r="Y27" s="91"/>
      <c r="Z27" s="68"/>
      <c r="AA27" s="68"/>
      <c r="AB27" s="90">
        <f t="shared" si="1"/>
        <v>14740</v>
      </c>
      <c r="AC27" s="91"/>
      <c r="AD27" s="68"/>
      <c r="AE27" s="68"/>
      <c r="AF27" s="90">
        <f t="shared" si="2"/>
        <v>14740</v>
      </c>
      <c r="AG27" s="91"/>
      <c r="AH27" s="68"/>
      <c r="AI27" s="68"/>
      <c r="AJ27" s="90">
        <f t="shared" si="7"/>
        <v>14740</v>
      </c>
      <c r="AK27" s="91">
        <f t="shared" si="9"/>
        <v>0</v>
      </c>
      <c r="AL27" s="68"/>
      <c r="AM27" s="68"/>
      <c r="AN27" s="91">
        <f>+AJ27</f>
        <v>14740</v>
      </c>
      <c r="AO27" s="91"/>
      <c r="AP27" s="68"/>
      <c r="AQ27" s="68"/>
      <c r="AR27" s="90">
        <f t="shared" si="3"/>
        <v>14740</v>
      </c>
      <c r="AS27" s="91">
        <f t="shared" si="11"/>
        <v>0</v>
      </c>
      <c r="AT27" s="68"/>
      <c r="AU27" s="68"/>
      <c r="AV27" s="62">
        <f t="shared" si="18"/>
        <v>14740</v>
      </c>
      <c r="AW27" s="68"/>
      <c r="AX27" s="68"/>
      <c r="AY27" s="68"/>
      <c r="AZ27" s="68"/>
      <c r="BA27" s="68"/>
      <c r="BB27" s="68"/>
      <c r="BC27" s="68"/>
      <c r="BD27" s="68"/>
      <c r="BE27" s="68"/>
      <c r="BF27" s="31">
        <v>17</v>
      </c>
      <c r="BG27" s="32">
        <v>14740</v>
      </c>
      <c r="BH27" s="27"/>
      <c r="BI27" s="32"/>
      <c r="BJ27" s="32">
        <f>BD27+BG27-BI27</f>
        <v>14740</v>
      </c>
      <c r="BK27" s="32"/>
      <c r="BL27" s="32"/>
      <c r="BM27" s="32"/>
      <c r="BN27" s="32"/>
      <c r="BO27" s="32"/>
      <c r="BP27" s="32">
        <f>BJ27</f>
        <v>14740</v>
      </c>
      <c r="BQ27" s="32"/>
    </row>
    <row r="28" spans="1:69" x14ac:dyDescent="0.5">
      <c r="A28" s="61">
        <v>22</v>
      </c>
      <c r="B28" s="82" t="s">
        <v>157</v>
      </c>
      <c r="C28" s="67"/>
      <c r="D28" s="68"/>
      <c r="E28" s="68"/>
      <c r="F28" s="68"/>
      <c r="G28" s="68"/>
      <c r="H28" s="90"/>
      <c r="I28" s="91"/>
      <c r="J28" s="68"/>
      <c r="K28" s="68"/>
      <c r="L28" s="91"/>
      <c r="M28" s="91"/>
      <c r="N28" s="68"/>
      <c r="O28" s="68"/>
      <c r="P28" s="90"/>
      <c r="Q28" s="91"/>
      <c r="R28" s="68"/>
      <c r="S28" s="68"/>
      <c r="T28" s="91"/>
      <c r="U28" s="91"/>
      <c r="V28" s="68"/>
      <c r="W28" s="68"/>
      <c r="X28" s="91"/>
      <c r="Y28" s="91"/>
      <c r="Z28" s="68"/>
      <c r="AA28" s="68"/>
      <c r="AB28" s="90"/>
      <c r="AC28" s="91"/>
      <c r="AD28" s="68"/>
      <c r="AE28" s="68"/>
      <c r="AF28" s="90"/>
      <c r="AG28" s="91"/>
      <c r="AH28" s="68"/>
      <c r="AI28" s="68"/>
      <c r="AJ28" s="90"/>
      <c r="AK28" s="91"/>
      <c r="AL28" s="68"/>
      <c r="AM28" s="68"/>
      <c r="AN28" s="91"/>
      <c r="AO28" s="91"/>
      <c r="AP28" s="68">
        <v>22640</v>
      </c>
      <c r="AQ28" s="68"/>
      <c r="AR28" s="90">
        <f t="shared" si="3"/>
        <v>22640</v>
      </c>
      <c r="AS28" s="91">
        <v>0</v>
      </c>
      <c r="AT28" s="68"/>
      <c r="AU28" s="68"/>
      <c r="AV28" s="62">
        <f t="shared" si="18"/>
        <v>22640</v>
      </c>
      <c r="AW28" s="68"/>
      <c r="AX28" s="68"/>
      <c r="AY28" s="68"/>
      <c r="AZ28" s="68"/>
      <c r="BA28" s="68"/>
      <c r="BB28" s="68"/>
      <c r="BC28" s="68"/>
      <c r="BD28" s="68"/>
      <c r="BE28" s="68"/>
      <c r="BF28" s="31"/>
      <c r="BG28" s="32"/>
      <c r="BH28" s="27"/>
      <c r="BI28" s="32"/>
      <c r="BJ28" s="32"/>
      <c r="BK28" s="32"/>
      <c r="BL28" s="32"/>
      <c r="BM28" s="32"/>
      <c r="BN28" s="32"/>
      <c r="BO28" s="32"/>
      <c r="BP28" s="32"/>
      <c r="BQ28" s="32"/>
    </row>
    <row r="29" spans="1:69" ht="24" x14ac:dyDescent="0.55000000000000004">
      <c r="A29" s="61">
        <v>23</v>
      </c>
      <c r="B29" s="81" t="s">
        <v>20</v>
      </c>
      <c r="C29" s="67">
        <v>81</v>
      </c>
      <c r="D29" s="68">
        <f>+'กระดาษทำการ 30 เม.ย.58'!BP32</f>
        <v>5012808.46</v>
      </c>
      <c r="E29" s="68">
        <f>+'กระดาษทำการ 30 เม.ย.58'!BQ32</f>
        <v>0</v>
      </c>
      <c r="F29" s="76">
        <v>10000</v>
      </c>
      <c r="G29" s="76"/>
      <c r="H29" s="90">
        <f t="shared" si="0"/>
        <v>5022808.46</v>
      </c>
      <c r="I29" s="91"/>
      <c r="J29" s="76"/>
      <c r="K29" s="76">
        <v>20000</v>
      </c>
      <c r="L29" s="91">
        <f>+H29+J29-K29</f>
        <v>5002808.46</v>
      </c>
      <c r="M29" s="91"/>
      <c r="N29" s="76">
        <v>322000</v>
      </c>
      <c r="O29" s="76">
        <v>280000</v>
      </c>
      <c r="P29" s="90">
        <f t="shared" si="6"/>
        <v>5044808.46</v>
      </c>
      <c r="Q29" s="91"/>
      <c r="R29" s="68"/>
      <c r="S29" s="68"/>
      <c r="T29" s="91">
        <f t="shared" si="16"/>
        <v>5044808.46</v>
      </c>
      <c r="U29" s="91"/>
      <c r="V29" s="68"/>
      <c r="W29" s="68"/>
      <c r="X29" s="91">
        <f t="shared" si="17"/>
        <v>5044808.46</v>
      </c>
      <c r="Y29" s="91"/>
      <c r="Z29" s="60">
        <v>80000</v>
      </c>
      <c r="AA29" s="60">
        <v>90000</v>
      </c>
      <c r="AB29" s="90">
        <f t="shared" si="1"/>
        <v>5034808.46</v>
      </c>
      <c r="AC29" s="91"/>
      <c r="AD29" s="68">
        <f>10000+20000</f>
        <v>30000</v>
      </c>
      <c r="AE29" s="68">
        <f>10000+10000+14476.34</f>
        <v>34476.339999999997</v>
      </c>
      <c r="AF29" s="90">
        <f t="shared" si="2"/>
        <v>5030332.12</v>
      </c>
      <c r="AG29" s="91"/>
      <c r="AH29" s="68"/>
      <c r="AI29" s="68"/>
      <c r="AJ29" s="90">
        <f t="shared" si="7"/>
        <v>5030332.12</v>
      </c>
      <c r="AK29" s="91">
        <f t="shared" si="9"/>
        <v>0</v>
      </c>
      <c r="AL29" s="68">
        <f>265000+322000</f>
        <v>587000</v>
      </c>
      <c r="AM29" s="68">
        <f>37000+83000+90000+322000</f>
        <v>532000</v>
      </c>
      <c r="AN29" s="91">
        <f>+AJ29+AL29-AM29</f>
        <v>5085332.12</v>
      </c>
      <c r="AO29" s="91"/>
      <c r="AP29" s="68">
        <v>530000</v>
      </c>
      <c r="AQ29" s="68">
        <v>496000</v>
      </c>
      <c r="AR29" s="90">
        <f t="shared" si="3"/>
        <v>5119332.12</v>
      </c>
      <c r="AS29" s="91">
        <v>0</v>
      </c>
      <c r="AT29" s="60">
        <f>316000+427000</f>
        <v>743000</v>
      </c>
      <c r="AU29" s="60">
        <f>402000+296000</f>
        <v>698000</v>
      </c>
      <c r="AV29" s="62">
        <f t="shared" si="18"/>
        <v>5164332.12</v>
      </c>
      <c r="AW29" s="68"/>
      <c r="AX29" s="68"/>
      <c r="AY29" s="68"/>
      <c r="AZ29" s="68"/>
      <c r="BA29" s="68"/>
      <c r="BB29" s="68"/>
      <c r="BC29" s="68"/>
      <c r="BD29" s="68">
        <f t="shared" si="10"/>
        <v>5012808.46</v>
      </c>
      <c r="BE29" s="68"/>
      <c r="BF29" s="31">
        <v>14</v>
      </c>
      <c r="BG29" s="32">
        <v>30000</v>
      </c>
      <c r="BH29" s="27"/>
      <c r="BI29" s="32"/>
      <c r="BJ29" s="32">
        <f>BD29+BG29-BI29</f>
        <v>5042808.46</v>
      </c>
      <c r="BK29" s="32"/>
      <c r="BL29" s="32"/>
      <c r="BM29" s="32"/>
      <c r="BN29" s="32"/>
      <c r="BO29" s="32"/>
      <c r="BP29" s="32">
        <f t="shared" si="15"/>
        <v>5042808.46</v>
      </c>
      <c r="BQ29" s="32"/>
    </row>
    <row r="30" spans="1:69" x14ac:dyDescent="0.5">
      <c r="A30" s="61">
        <v>24</v>
      </c>
      <c r="B30" s="81" t="s">
        <v>136</v>
      </c>
      <c r="C30" s="67">
        <v>101</v>
      </c>
      <c r="D30" s="68">
        <f>+'กระดาษทำการ 30 เม.ย.58'!BP33</f>
        <v>205000</v>
      </c>
      <c r="E30" s="68">
        <f>+'กระดาษทำการ 30 เม.ย.58'!BQ33</f>
        <v>0</v>
      </c>
      <c r="F30" s="68"/>
      <c r="G30" s="68"/>
      <c r="H30" s="90">
        <f t="shared" si="0"/>
        <v>205000</v>
      </c>
      <c r="I30" s="91"/>
      <c r="J30" s="68"/>
      <c r="K30" s="68"/>
      <c r="L30" s="91">
        <f>+H30+J30-K30</f>
        <v>205000</v>
      </c>
      <c r="M30" s="91"/>
      <c r="N30" s="68"/>
      <c r="O30" s="68"/>
      <c r="P30" s="90">
        <f t="shared" si="6"/>
        <v>205000</v>
      </c>
      <c r="Q30" s="91"/>
      <c r="R30" s="68"/>
      <c r="S30" s="68"/>
      <c r="T30" s="91">
        <f>+P30+R30-S30</f>
        <v>205000</v>
      </c>
      <c r="U30" s="91"/>
      <c r="V30" s="68"/>
      <c r="W30" s="68"/>
      <c r="X30" s="91">
        <f t="shared" si="17"/>
        <v>205000</v>
      </c>
      <c r="Y30" s="91"/>
      <c r="Z30" s="68"/>
      <c r="AA30" s="68"/>
      <c r="AB30" s="90">
        <f t="shared" si="1"/>
        <v>205000</v>
      </c>
      <c r="AC30" s="91"/>
      <c r="AD30" s="68"/>
      <c r="AE30" s="68"/>
      <c r="AF30" s="90">
        <f t="shared" si="2"/>
        <v>205000</v>
      </c>
      <c r="AG30" s="91"/>
      <c r="AH30" s="68"/>
      <c r="AI30" s="68"/>
      <c r="AJ30" s="90">
        <f t="shared" si="7"/>
        <v>205000</v>
      </c>
      <c r="AK30" s="91">
        <f t="shared" si="9"/>
        <v>0</v>
      </c>
      <c r="AL30" s="68"/>
      <c r="AM30" s="68"/>
      <c r="AN30" s="91">
        <f>+AJ30+AL30-AM30</f>
        <v>205000</v>
      </c>
      <c r="AO30" s="91"/>
      <c r="AP30" s="68"/>
      <c r="AQ30" s="68"/>
      <c r="AR30" s="90">
        <f t="shared" si="3"/>
        <v>205000</v>
      </c>
      <c r="AS30" s="91">
        <f t="shared" si="11"/>
        <v>0</v>
      </c>
      <c r="AT30" s="68"/>
      <c r="AU30" s="68"/>
      <c r="AV30" s="62">
        <f t="shared" si="18"/>
        <v>205000</v>
      </c>
      <c r="AW30" s="68"/>
      <c r="AX30" s="68"/>
      <c r="AY30" s="68"/>
      <c r="AZ30" s="68"/>
      <c r="BA30" s="68"/>
      <c r="BB30" s="68"/>
      <c r="BC30" s="68"/>
      <c r="BD30" s="68">
        <f t="shared" si="10"/>
        <v>205000</v>
      </c>
      <c r="BE30" s="68"/>
      <c r="BF30" s="31"/>
      <c r="BG30" s="32"/>
      <c r="BH30" s="27">
        <v>14</v>
      </c>
      <c r="BI30" s="32">
        <v>30000</v>
      </c>
      <c r="BJ30" s="32">
        <f>BD30+BG30-BI30</f>
        <v>175000</v>
      </c>
      <c r="BK30" s="32"/>
      <c r="BL30" s="32"/>
      <c r="BM30" s="32"/>
      <c r="BN30" s="32"/>
      <c r="BO30" s="32"/>
      <c r="BP30" s="32">
        <f t="shared" si="15"/>
        <v>175000</v>
      </c>
      <c r="BQ30" s="32"/>
    </row>
    <row r="31" spans="1:69" x14ac:dyDescent="0.5">
      <c r="A31" s="61">
        <v>25</v>
      </c>
      <c r="B31" s="81" t="s">
        <v>54</v>
      </c>
      <c r="C31" s="67">
        <v>99</v>
      </c>
      <c r="D31" s="68">
        <f>+'กระดาษทำการ 30 เม.ย.58'!BP34</f>
        <v>0</v>
      </c>
      <c r="E31" s="68">
        <f>+'กระดาษทำการ 30 เม.ย.58'!BQ34</f>
        <v>755271.32000000007</v>
      </c>
      <c r="F31" s="68"/>
      <c r="G31" s="68"/>
      <c r="H31" s="90">
        <f t="shared" si="0"/>
        <v>0</v>
      </c>
      <c r="I31" s="91">
        <f>+E31</f>
        <v>755271.32000000007</v>
      </c>
      <c r="J31" s="68"/>
      <c r="K31" s="68"/>
      <c r="L31" s="91"/>
      <c r="M31" s="91">
        <f>+I31</f>
        <v>755271.32000000007</v>
      </c>
      <c r="N31" s="68"/>
      <c r="O31" s="68"/>
      <c r="P31" s="91"/>
      <c r="Q31" s="91">
        <f>+M31</f>
        <v>755271.32000000007</v>
      </c>
      <c r="R31" s="68"/>
      <c r="S31" s="68"/>
      <c r="T31" s="91"/>
      <c r="U31" s="91">
        <f>+Q31</f>
        <v>755271.32000000007</v>
      </c>
      <c r="V31" s="68"/>
      <c r="W31" s="68"/>
      <c r="X31" s="91">
        <f t="shared" ref="X31:X34" si="19">+T31+V31-W31</f>
        <v>0</v>
      </c>
      <c r="Y31" s="91">
        <f>+U31+W31-V31</f>
        <v>755271.32000000007</v>
      </c>
      <c r="Z31" s="68"/>
      <c r="AA31" s="68"/>
      <c r="AB31" s="90">
        <f t="shared" si="1"/>
        <v>0</v>
      </c>
      <c r="AC31" s="91">
        <f>+Y31</f>
        <v>755271.32000000007</v>
      </c>
      <c r="AD31" s="68"/>
      <c r="AE31" s="68"/>
      <c r="AF31" s="90">
        <f t="shared" si="2"/>
        <v>0</v>
      </c>
      <c r="AG31" s="91">
        <f>+AC31</f>
        <v>755271.32000000007</v>
      </c>
      <c r="AH31" s="68"/>
      <c r="AI31" s="68"/>
      <c r="AJ31" s="90">
        <f t="shared" si="7"/>
        <v>0</v>
      </c>
      <c r="AK31" s="91">
        <f t="shared" si="9"/>
        <v>755271.32000000007</v>
      </c>
      <c r="AL31" s="68"/>
      <c r="AM31" s="68"/>
      <c r="AN31" s="91"/>
      <c r="AO31" s="91">
        <f>+AK31</f>
        <v>755271.32000000007</v>
      </c>
      <c r="AP31" s="68"/>
      <c r="AQ31" s="68"/>
      <c r="AR31" s="90">
        <f t="shared" si="3"/>
        <v>0</v>
      </c>
      <c r="AS31" s="91">
        <f t="shared" si="11"/>
        <v>755271.32000000007</v>
      </c>
      <c r="AT31" s="68"/>
      <c r="AU31" s="68"/>
      <c r="AV31" s="62">
        <f t="shared" si="18"/>
        <v>0</v>
      </c>
      <c r="AW31" s="68">
        <f>+AS31</f>
        <v>755271.32000000007</v>
      </c>
      <c r="AX31" s="68"/>
      <c r="AY31" s="68"/>
      <c r="AZ31" s="68"/>
      <c r="BA31" s="68"/>
      <c r="BB31" s="68"/>
      <c r="BC31" s="68"/>
      <c r="BD31" s="68"/>
      <c r="BE31" s="68">
        <f>E31+BC31-BB31</f>
        <v>755271.32000000007</v>
      </c>
      <c r="BF31" s="31">
        <v>9</v>
      </c>
      <c r="BG31" s="32">
        <v>91565.73</v>
      </c>
      <c r="BH31" s="27"/>
      <c r="BI31" s="32"/>
      <c r="BJ31" s="32"/>
      <c r="BK31" s="32">
        <f>BE31+BI31-BG31</f>
        <v>663705.59000000008</v>
      </c>
      <c r="BL31" s="32"/>
      <c r="BM31" s="32"/>
      <c r="BN31" s="32"/>
      <c r="BO31" s="32"/>
      <c r="BP31" s="32"/>
      <c r="BQ31" s="32">
        <f>BK31</f>
        <v>663705.59000000008</v>
      </c>
    </row>
    <row r="32" spans="1:69" ht="24" x14ac:dyDescent="0.55000000000000004">
      <c r="A32" s="61">
        <v>26</v>
      </c>
      <c r="B32" s="81" t="s">
        <v>2</v>
      </c>
      <c r="C32" s="67">
        <v>105</v>
      </c>
      <c r="D32" s="68">
        <f>+'กระดาษทำการ 30 เม.ย.58'!BP35</f>
        <v>809609.7</v>
      </c>
      <c r="E32" s="68">
        <f>+'กระดาษทำการ 30 เม.ย.58'!BQ35</f>
        <v>0</v>
      </c>
      <c r="F32" s="68"/>
      <c r="G32" s="68"/>
      <c r="H32" s="90">
        <f t="shared" si="0"/>
        <v>809609.7</v>
      </c>
      <c r="I32" s="91"/>
      <c r="J32" s="76"/>
      <c r="K32" s="76">
        <v>1557</v>
      </c>
      <c r="L32" s="91">
        <f>+H32+J32-K32</f>
        <v>808052.7</v>
      </c>
      <c r="M32" s="91"/>
      <c r="N32" s="68"/>
      <c r="O32" s="68"/>
      <c r="P32" s="91">
        <f>+L32</f>
        <v>808052.7</v>
      </c>
      <c r="Q32" s="91"/>
      <c r="R32" s="68"/>
      <c r="S32" s="68"/>
      <c r="T32" s="91">
        <f>+P32</f>
        <v>808052.7</v>
      </c>
      <c r="U32" s="91"/>
      <c r="V32" s="68"/>
      <c r="W32" s="68"/>
      <c r="X32" s="91">
        <f t="shared" si="19"/>
        <v>808052.7</v>
      </c>
      <c r="Y32" s="91">
        <f t="shared" ref="Y32:Y61" si="20">+U32+W32-V32</f>
        <v>0</v>
      </c>
      <c r="Z32" s="60"/>
      <c r="AA32" s="60">
        <v>34.56</v>
      </c>
      <c r="AB32" s="90">
        <f t="shared" si="1"/>
        <v>808018.1399999999</v>
      </c>
      <c r="AC32" s="91"/>
      <c r="AD32" s="68"/>
      <c r="AE32" s="68">
        <f>3.84+3.84+324.43</f>
        <v>332.11</v>
      </c>
      <c r="AF32" s="90">
        <f t="shared" si="2"/>
        <v>807686.02999999991</v>
      </c>
      <c r="AG32" s="91"/>
      <c r="AH32" s="68"/>
      <c r="AI32" s="68"/>
      <c r="AJ32" s="90">
        <f t="shared" si="7"/>
        <v>807686.02999999991</v>
      </c>
      <c r="AK32" s="91">
        <f t="shared" si="9"/>
        <v>0</v>
      </c>
      <c r="AL32" s="68"/>
      <c r="AM32" s="68">
        <f>475.23+1225.67+411.37+32.22</f>
        <v>2144.4899999999998</v>
      </c>
      <c r="AN32" s="91">
        <f>+AJ32+AL32-AM32</f>
        <v>805541.53999999992</v>
      </c>
      <c r="AO32" s="91"/>
      <c r="AP32" s="68"/>
      <c r="AQ32" s="68">
        <v>3760.94</v>
      </c>
      <c r="AR32" s="90">
        <f t="shared" ref="AR32:AR33" si="21">+AN32+AP32-AQ32</f>
        <v>801780.6</v>
      </c>
      <c r="AS32" s="91">
        <v>0</v>
      </c>
      <c r="AT32" s="60"/>
      <c r="AU32" s="60">
        <f>3614.1+5683.06</f>
        <v>9297.16</v>
      </c>
      <c r="AV32" s="62">
        <f t="shared" si="18"/>
        <v>792483.44</v>
      </c>
      <c r="AW32" s="68"/>
      <c r="AX32" s="68"/>
      <c r="AY32" s="68"/>
      <c r="AZ32" s="68"/>
      <c r="BA32" s="68"/>
      <c r="BB32" s="68"/>
      <c r="BC32" s="68"/>
      <c r="BD32" s="68">
        <f>D32+BB32-BC32</f>
        <v>809609.7</v>
      </c>
      <c r="BE32" s="68"/>
      <c r="BF32" s="45" t="s">
        <v>107</v>
      </c>
      <c r="BG32" s="32">
        <f>29+171840.7</f>
        <v>171869.7</v>
      </c>
      <c r="BH32" s="27">
        <v>21</v>
      </c>
      <c r="BI32" s="32">
        <f>135892+8200</f>
        <v>144092</v>
      </c>
      <c r="BJ32" s="32">
        <f>BD32+BG32-BI32</f>
        <v>837387.39999999991</v>
      </c>
      <c r="BK32" s="32"/>
      <c r="BL32" s="32"/>
      <c r="BM32" s="32"/>
      <c r="BN32" s="32"/>
      <c r="BO32" s="32"/>
      <c r="BP32" s="32">
        <f>BJ32</f>
        <v>837387.39999999991</v>
      </c>
      <c r="BQ32" s="32"/>
    </row>
    <row r="33" spans="1:69" x14ac:dyDescent="0.5">
      <c r="A33" s="61">
        <v>27</v>
      </c>
      <c r="B33" s="81" t="s">
        <v>55</v>
      </c>
      <c r="C33" s="67">
        <v>113</v>
      </c>
      <c r="D33" s="68">
        <f>+'กระดาษทำการ 30 เม.ย.58'!BP36</f>
        <v>0</v>
      </c>
      <c r="E33" s="68">
        <f>+'กระดาษทำการ 30 เม.ย.58'!BQ36</f>
        <v>577440</v>
      </c>
      <c r="F33" s="68"/>
      <c r="G33" s="68"/>
      <c r="H33" s="90">
        <f t="shared" si="0"/>
        <v>0</v>
      </c>
      <c r="I33" s="91">
        <f>+E33</f>
        <v>577440</v>
      </c>
      <c r="J33" s="68"/>
      <c r="K33" s="68"/>
      <c r="L33" s="91"/>
      <c r="M33" s="91">
        <f>+I33</f>
        <v>577440</v>
      </c>
      <c r="N33" s="68"/>
      <c r="O33" s="68"/>
      <c r="P33" s="91"/>
      <c r="Q33" s="91">
        <f>+M33</f>
        <v>577440</v>
      </c>
      <c r="R33" s="68"/>
      <c r="S33" s="68"/>
      <c r="T33" s="91"/>
      <c r="U33" s="91">
        <f>+Q33</f>
        <v>577440</v>
      </c>
      <c r="V33" s="68"/>
      <c r="W33" s="68"/>
      <c r="X33" s="91">
        <f t="shared" si="19"/>
        <v>0</v>
      </c>
      <c r="Y33" s="91">
        <f t="shared" si="20"/>
        <v>577440</v>
      </c>
      <c r="Z33" s="68"/>
      <c r="AA33" s="68"/>
      <c r="AB33" s="90">
        <f t="shared" si="1"/>
        <v>0</v>
      </c>
      <c r="AC33" s="91">
        <f>+Y33</f>
        <v>577440</v>
      </c>
      <c r="AD33" s="68"/>
      <c r="AE33" s="68"/>
      <c r="AF33" s="90">
        <f t="shared" si="2"/>
        <v>0</v>
      </c>
      <c r="AG33" s="91">
        <f>+AC33</f>
        <v>577440</v>
      </c>
      <c r="AH33" s="68"/>
      <c r="AI33" s="68"/>
      <c r="AJ33" s="90">
        <f t="shared" si="7"/>
        <v>0</v>
      </c>
      <c r="AK33" s="91">
        <f t="shared" si="9"/>
        <v>577440</v>
      </c>
      <c r="AL33" s="68"/>
      <c r="AM33" s="68"/>
      <c r="AN33" s="91"/>
      <c r="AO33" s="91">
        <f>+AK33</f>
        <v>577440</v>
      </c>
      <c r="AP33" s="68"/>
      <c r="AQ33" s="68"/>
      <c r="AR33" s="90">
        <f t="shared" si="21"/>
        <v>0</v>
      </c>
      <c r="AS33" s="91">
        <f t="shared" ref="AS33" si="22">+AO33+AQ33-AP33</f>
        <v>577440</v>
      </c>
      <c r="AT33" s="68"/>
      <c r="AU33" s="68"/>
      <c r="AV33" s="62">
        <f t="shared" si="18"/>
        <v>0</v>
      </c>
      <c r="AW33" s="68">
        <f>+AS33</f>
        <v>577440</v>
      </c>
      <c r="AX33" s="68"/>
      <c r="AY33" s="68"/>
      <c r="AZ33" s="68"/>
      <c r="BA33" s="68"/>
      <c r="BB33" s="68"/>
      <c r="BC33" s="68"/>
      <c r="BD33" s="68"/>
      <c r="BE33" s="68">
        <f>E33+BC33-BB33</f>
        <v>577440</v>
      </c>
      <c r="BF33" s="31">
        <v>10</v>
      </c>
      <c r="BG33" s="32">
        <v>82916.100000000006</v>
      </c>
      <c r="BH33" s="27"/>
      <c r="BI33" s="32"/>
      <c r="BJ33" s="32"/>
      <c r="BK33" s="32">
        <f>BE33+BI33-BG33</f>
        <v>494523.9</v>
      </c>
      <c r="BL33" s="32"/>
      <c r="BM33" s="32"/>
      <c r="BN33" s="32"/>
      <c r="BO33" s="32"/>
      <c r="BP33" s="32"/>
      <c r="BQ33" s="32">
        <f>BK33</f>
        <v>494523.9</v>
      </c>
    </row>
    <row r="34" spans="1:69" x14ac:dyDescent="0.5">
      <c r="A34" s="61">
        <v>28</v>
      </c>
      <c r="B34" s="81" t="s">
        <v>56</v>
      </c>
      <c r="C34" s="67">
        <v>119</v>
      </c>
      <c r="D34" s="68">
        <f>+'กระดาษทำการ 30 เม.ย.58'!BP37</f>
        <v>298253.89</v>
      </c>
      <c r="E34" s="68">
        <f>+'กระดาษทำการ 30 เม.ย.58'!BQ37</f>
        <v>0</v>
      </c>
      <c r="F34" s="68"/>
      <c r="G34" s="68"/>
      <c r="H34" s="90">
        <f t="shared" si="0"/>
        <v>298253.89</v>
      </c>
      <c r="I34" s="91"/>
      <c r="J34" s="76"/>
      <c r="K34" s="76">
        <v>600</v>
      </c>
      <c r="L34" s="91">
        <f>+H34+J34-K34</f>
        <v>297653.89</v>
      </c>
      <c r="M34" s="91"/>
      <c r="N34" s="68"/>
      <c r="O34" s="68"/>
      <c r="P34" s="91">
        <f>+L34</f>
        <v>297653.89</v>
      </c>
      <c r="Q34" s="91">
        <f>+M34</f>
        <v>0</v>
      </c>
      <c r="R34" s="68"/>
      <c r="S34" s="68"/>
      <c r="T34" s="91">
        <f>+P34+R34-S34</f>
        <v>297653.89</v>
      </c>
      <c r="U34" s="91"/>
      <c r="V34" s="68"/>
      <c r="W34" s="68"/>
      <c r="X34" s="91">
        <f t="shared" si="19"/>
        <v>297653.89</v>
      </c>
      <c r="Y34" s="91">
        <f t="shared" si="20"/>
        <v>0</v>
      </c>
      <c r="Z34" s="68"/>
      <c r="AA34" s="68"/>
      <c r="AB34" s="90">
        <f t="shared" si="1"/>
        <v>297653.89</v>
      </c>
      <c r="AC34" s="91"/>
      <c r="AD34" s="68"/>
      <c r="AE34" s="68"/>
      <c r="AF34" s="90">
        <f t="shared" si="2"/>
        <v>297653.89</v>
      </c>
      <c r="AG34" s="91"/>
      <c r="AH34" s="68"/>
      <c r="AI34" s="68"/>
      <c r="AJ34" s="90">
        <f t="shared" si="7"/>
        <v>297653.89</v>
      </c>
      <c r="AK34" s="91">
        <f t="shared" si="9"/>
        <v>0</v>
      </c>
      <c r="AL34" s="68"/>
      <c r="AM34" s="68"/>
      <c r="AN34" s="91">
        <f>+AJ34</f>
        <v>297653.89</v>
      </c>
      <c r="AO34" s="91"/>
      <c r="AP34" s="68"/>
      <c r="AQ34" s="68"/>
      <c r="AR34" s="90">
        <f t="shared" ref="AR34:AR35" si="23">+AN34+AP34-AQ34</f>
        <v>297653.89</v>
      </c>
      <c r="AS34" s="91">
        <f t="shared" ref="AS34:AS35" si="24">+AO34+AQ34-AP34</f>
        <v>0</v>
      </c>
      <c r="AT34" s="68"/>
      <c r="AU34" s="68"/>
      <c r="AV34" s="62">
        <f t="shared" si="18"/>
        <v>297653.89</v>
      </c>
      <c r="AW34" s="68"/>
      <c r="AX34" s="68"/>
      <c r="AY34" s="68"/>
      <c r="AZ34" s="68"/>
      <c r="BA34" s="68"/>
      <c r="BB34" s="68"/>
      <c r="BC34" s="68"/>
      <c r="BD34" s="68">
        <f>D34+BB34-BC34</f>
        <v>298253.89</v>
      </c>
      <c r="BE34" s="68"/>
      <c r="BF34" s="31">
        <v>19</v>
      </c>
      <c r="BG34" s="32">
        <v>50290.89</v>
      </c>
      <c r="BH34" s="27">
        <v>20</v>
      </c>
      <c r="BI34" s="32">
        <v>66277</v>
      </c>
      <c r="BJ34" s="32">
        <f>BD34+BG34-BI34</f>
        <v>282267.78000000003</v>
      </c>
      <c r="BK34" s="32"/>
      <c r="BL34" s="32"/>
      <c r="BM34" s="32"/>
      <c r="BN34" s="32"/>
      <c r="BO34" s="32"/>
      <c r="BP34" s="32">
        <f>BJ34</f>
        <v>282267.78000000003</v>
      </c>
      <c r="BQ34" s="32"/>
    </row>
    <row r="35" spans="1:69" x14ac:dyDescent="0.5">
      <c r="A35" s="61">
        <v>29</v>
      </c>
      <c r="B35" s="81" t="s">
        <v>57</v>
      </c>
      <c r="C35" s="67">
        <v>127</v>
      </c>
      <c r="D35" s="68">
        <f>+'กระดาษทำการ 30 เม.ย.58'!BP38</f>
        <v>0</v>
      </c>
      <c r="E35" s="68">
        <f>+'กระดาษทำการ 30 เม.ย.58'!BQ38</f>
        <v>298253.89</v>
      </c>
      <c r="F35" s="68"/>
      <c r="G35" s="68"/>
      <c r="H35" s="90"/>
      <c r="I35" s="91">
        <f>+E35</f>
        <v>298253.89</v>
      </c>
      <c r="J35" s="68"/>
      <c r="K35" s="68"/>
      <c r="L35" s="91"/>
      <c r="M35" s="91">
        <f>+I35</f>
        <v>298253.89</v>
      </c>
      <c r="N35" s="68"/>
      <c r="O35" s="68"/>
      <c r="P35" s="91"/>
      <c r="Q35" s="91">
        <f>+M35+O35-N35</f>
        <v>298253.89</v>
      </c>
      <c r="R35" s="68"/>
      <c r="S35" s="68"/>
      <c r="T35" s="91"/>
      <c r="U35" s="91">
        <f>+Q35+S35-R35</f>
        <v>298253.89</v>
      </c>
      <c r="V35" s="68"/>
      <c r="W35" s="68"/>
      <c r="X35" s="91"/>
      <c r="Y35" s="91">
        <f t="shared" si="20"/>
        <v>298253.89</v>
      </c>
      <c r="Z35" s="68"/>
      <c r="AA35" s="68"/>
      <c r="AB35" s="91"/>
      <c r="AC35" s="91">
        <f>+Y35+AA35-Z35</f>
        <v>298253.89</v>
      </c>
      <c r="AD35" s="68"/>
      <c r="AE35" s="68"/>
      <c r="AF35" s="91"/>
      <c r="AG35" s="91">
        <f>+AC35+AE35-AD35</f>
        <v>298253.89</v>
      </c>
      <c r="AH35" s="68"/>
      <c r="AI35" s="68"/>
      <c r="AJ35" s="91"/>
      <c r="AK35" s="91">
        <f t="shared" si="9"/>
        <v>298253.89</v>
      </c>
      <c r="AL35" s="68"/>
      <c r="AM35" s="68"/>
      <c r="AN35" s="91"/>
      <c r="AO35" s="91">
        <f>+AK35</f>
        <v>298253.89</v>
      </c>
      <c r="AP35" s="68"/>
      <c r="AQ35" s="68"/>
      <c r="AR35" s="90">
        <f t="shared" si="23"/>
        <v>0</v>
      </c>
      <c r="AS35" s="91">
        <f t="shared" si="24"/>
        <v>298253.89</v>
      </c>
      <c r="AT35" s="68"/>
      <c r="AU35" s="68"/>
      <c r="AV35" s="62">
        <f t="shared" si="18"/>
        <v>0</v>
      </c>
      <c r="AW35" s="68">
        <f>+AS35</f>
        <v>298253.89</v>
      </c>
      <c r="AX35" s="68"/>
      <c r="AY35" s="68"/>
      <c r="AZ35" s="68"/>
      <c r="BA35" s="68"/>
      <c r="BB35" s="68"/>
      <c r="BC35" s="68"/>
      <c r="BD35" s="68"/>
      <c r="BE35" s="68">
        <f>E35+BC35-BB35</f>
        <v>298253.89</v>
      </c>
      <c r="BF35" s="31">
        <v>11</v>
      </c>
      <c r="BG35" s="32">
        <v>20533.11</v>
      </c>
      <c r="BH35" s="27"/>
      <c r="BI35" s="32"/>
      <c r="BJ35" s="32"/>
      <c r="BK35" s="32">
        <f>BE35+BI35-BG35</f>
        <v>277720.78000000003</v>
      </c>
      <c r="BL35" s="32"/>
      <c r="BM35" s="32"/>
      <c r="BN35" s="32"/>
      <c r="BO35" s="32"/>
      <c r="BP35" s="32"/>
      <c r="BQ35" s="32">
        <f>BK35</f>
        <v>277720.78000000003</v>
      </c>
    </row>
    <row r="36" spans="1:69" ht="24" x14ac:dyDescent="0.55000000000000004">
      <c r="A36" s="61">
        <v>30</v>
      </c>
      <c r="B36" s="81" t="s">
        <v>58</v>
      </c>
      <c r="C36" s="67">
        <v>149</v>
      </c>
      <c r="D36" s="68">
        <f>+'กระดาษทำการ 30 เม.ย.58'!BP39</f>
        <v>0</v>
      </c>
      <c r="E36" s="68">
        <f>+'กระดาษทำการ 30 เม.ย.58'!BQ39</f>
        <v>308681.46000000002</v>
      </c>
      <c r="F36" s="76"/>
      <c r="G36" s="76">
        <v>100</v>
      </c>
      <c r="H36" s="90"/>
      <c r="I36" s="91">
        <f>+E36-F36+G36</f>
        <v>308781.46000000002</v>
      </c>
      <c r="J36" s="76">
        <f>1727.96+418.69</f>
        <v>2146.65</v>
      </c>
      <c r="K36" s="76"/>
      <c r="L36" s="91"/>
      <c r="M36" s="91">
        <f>+I36-J36+K36</f>
        <v>306634.81</v>
      </c>
      <c r="N36" s="76">
        <v>418.69</v>
      </c>
      <c r="O36" s="76">
        <v>3220</v>
      </c>
      <c r="P36" s="91"/>
      <c r="Q36" s="91">
        <f t="shared" ref="Q36:Q63" si="25">+M36+O36-N36</f>
        <v>309436.12</v>
      </c>
      <c r="R36" s="60">
        <v>105</v>
      </c>
      <c r="S36" s="60"/>
      <c r="T36" s="91"/>
      <c r="U36" s="91">
        <f t="shared" ref="U36:U47" si="26">+Q36+S36-R36</f>
        <v>309331.12</v>
      </c>
      <c r="V36" s="68"/>
      <c r="W36" s="68"/>
      <c r="X36" s="91"/>
      <c r="Y36" s="91">
        <f t="shared" si="20"/>
        <v>309331.12</v>
      </c>
      <c r="Z36" s="60">
        <f>418.69+453.95</f>
        <v>872.64</v>
      </c>
      <c r="AA36" s="60">
        <v>800</v>
      </c>
      <c r="AB36" s="91"/>
      <c r="AC36" s="91">
        <f t="shared" ref="AC36:AC63" si="27">+Y36+AA36-Z36</f>
        <v>309258.48</v>
      </c>
      <c r="AD36" s="68"/>
      <c r="AE36" s="68">
        <f>100+200</f>
        <v>300</v>
      </c>
      <c r="AF36" s="91"/>
      <c r="AG36" s="91">
        <f t="shared" ref="AG36:AG63" si="28">+AC36+AE36-AD36</f>
        <v>309558.48</v>
      </c>
      <c r="AH36" s="68"/>
      <c r="AI36" s="68"/>
      <c r="AJ36" s="91"/>
      <c r="AK36" s="91">
        <f t="shared" si="9"/>
        <v>309558.48</v>
      </c>
      <c r="AL36" s="68"/>
      <c r="AM36" s="68">
        <f>2650+3320</f>
        <v>5970</v>
      </c>
      <c r="AN36" s="91"/>
      <c r="AO36" s="91">
        <f>+AK36+AM36-AL36</f>
        <v>315528.48</v>
      </c>
      <c r="AP36" s="68"/>
      <c r="AQ36" s="68">
        <v>5300</v>
      </c>
      <c r="AR36" s="90">
        <v>0</v>
      </c>
      <c r="AS36" s="91">
        <f t="shared" ref="AS36:AS41" si="29">+AO36+AQ36-AP36</f>
        <v>320828.48</v>
      </c>
      <c r="AT36" s="60">
        <v>1382.73</v>
      </c>
      <c r="AU36" s="60">
        <f>3160+4270</f>
        <v>7430</v>
      </c>
      <c r="AV36" s="62"/>
      <c r="AW36" s="68">
        <f>+AS36+AU36-AT36</f>
        <v>326875.75</v>
      </c>
      <c r="AX36" s="68"/>
      <c r="AY36" s="68"/>
      <c r="AZ36" s="68"/>
      <c r="BA36" s="68"/>
      <c r="BB36" s="68"/>
      <c r="BC36" s="68"/>
      <c r="BD36" s="68"/>
      <c r="BE36" s="68">
        <f t="shared" ref="BE36:BE63" si="30">E36+BC36-BB36</f>
        <v>308681.46000000002</v>
      </c>
      <c r="BF36" s="31" t="s">
        <v>105</v>
      </c>
      <c r="BG36" s="32">
        <f>796+210.98</f>
        <v>1006.98</v>
      </c>
      <c r="BH36" s="27"/>
      <c r="BI36" s="32"/>
      <c r="BJ36" s="32"/>
      <c r="BK36" s="32">
        <f>BE36+BI36-BG36</f>
        <v>307674.48000000004</v>
      </c>
      <c r="BL36" s="32"/>
      <c r="BM36" s="32"/>
      <c r="BN36" s="32"/>
      <c r="BO36" s="32"/>
      <c r="BP36" s="32"/>
      <c r="BQ36" s="32">
        <f>BK36</f>
        <v>307674.48000000004</v>
      </c>
    </row>
    <row r="37" spans="1:69" x14ac:dyDescent="0.5">
      <c r="A37" s="61">
        <v>31</v>
      </c>
      <c r="B37" s="81" t="s">
        <v>59</v>
      </c>
      <c r="C37" s="67">
        <v>155</v>
      </c>
      <c r="D37" s="68">
        <f>+'กระดาษทำการ 30 เม.ย.58'!BP40</f>
        <v>0</v>
      </c>
      <c r="E37" s="68">
        <f>+'กระดาษทำการ 30 เม.ย.58'!BQ40</f>
        <v>16474.86</v>
      </c>
      <c r="F37" s="68"/>
      <c r="G37" s="68"/>
      <c r="H37" s="90"/>
      <c r="I37" s="91">
        <f t="shared" ref="I37:I52" si="31">+E37</f>
        <v>16474.86</v>
      </c>
      <c r="J37" s="68"/>
      <c r="K37" s="68"/>
      <c r="L37" s="91"/>
      <c r="M37" s="91">
        <f t="shared" ref="M37:M63" si="32">+I37-J37+K37</f>
        <v>16474.86</v>
      </c>
      <c r="N37" s="68"/>
      <c r="O37" s="68"/>
      <c r="P37" s="91"/>
      <c r="Q37" s="91">
        <f t="shared" si="25"/>
        <v>16474.86</v>
      </c>
      <c r="R37" s="68"/>
      <c r="S37" s="68"/>
      <c r="T37" s="91"/>
      <c r="U37" s="91">
        <f t="shared" si="26"/>
        <v>16474.86</v>
      </c>
      <c r="V37" s="68"/>
      <c r="W37" s="68"/>
      <c r="X37" s="91"/>
      <c r="Y37" s="91">
        <f t="shared" si="20"/>
        <v>16474.86</v>
      </c>
      <c r="Z37" s="68"/>
      <c r="AA37" s="68"/>
      <c r="AB37" s="91"/>
      <c r="AC37" s="91">
        <f t="shared" si="27"/>
        <v>16474.86</v>
      </c>
      <c r="AD37" s="68"/>
      <c r="AE37" s="68"/>
      <c r="AF37" s="91"/>
      <c r="AG37" s="91">
        <f t="shared" si="28"/>
        <v>16474.86</v>
      </c>
      <c r="AH37" s="68"/>
      <c r="AI37" s="68"/>
      <c r="AJ37" s="91"/>
      <c r="AK37" s="91">
        <f t="shared" si="9"/>
        <v>16474.86</v>
      </c>
      <c r="AL37" s="68"/>
      <c r="AM37" s="68"/>
      <c r="AN37" s="91"/>
      <c r="AO37" s="91">
        <f t="shared" ref="AO37:AO47" si="33">+AK37</f>
        <v>16474.86</v>
      </c>
      <c r="AP37" s="68"/>
      <c r="AQ37" s="68"/>
      <c r="AR37" s="90">
        <f t="shared" ref="AR37:AR41" si="34">+AN37+AP37-AQ37</f>
        <v>0</v>
      </c>
      <c r="AS37" s="91">
        <f t="shared" si="29"/>
        <v>16474.86</v>
      </c>
      <c r="AT37" s="68"/>
      <c r="AU37" s="68"/>
      <c r="AV37" s="68"/>
      <c r="AW37" s="68">
        <f t="shared" ref="AW37:AW63" si="35">+AS37+AU37-AT37</f>
        <v>16474.86</v>
      </c>
      <c r="AX37" s="68"/>
      <c r="AY37" s="68"/>
      <c r="AZ37" s="68"/>
      <c r="BA37" s="68"/>
      <c r="BB37" s="68"/>
      <c r="BC37" s="68"/>
      <c r="BD37" s="68"/>
      <c r="BE37" s="68">
        <f t="shared" si="30"/>
        <v>16474.86</v>
      </c>
      <c r="BF37" s="31"/>
      <c r="BG37" s="32"/>
      <c r="BH37" s="27"/>
      <c r="BI37" s="32"/>
      <c r="BJ37" s="32"/>
      <c r="BK37" s="32">
        <f t="shared" ref="BK37:BK47" si="36">BE37+BI37-BG37</f>
        <v>16474.86</v>
      </c>
      <c r="BL37" s="32"/>
      <c r="BM37" s="32"/>
      <c r="BN37" s="32"/>
      <c r="BO37" s="32"/>
      <c r="BP37" s="32"/>
      <c r="BQ37" s="32">
        <f>BK37</f>
        <v>16474.86</v>
      </c>
    </row>
    <row r="38" spans="1:69" x14ac:dyDescent="0.5">
      <c r="A38" s="61">
        <v>32</v>
      </c>
      <c r="B38" s="81" t="s">
        <v>6</v>
      </c>
      <c r="C38" s="67">
        <v>65</v>
      </c>
      <c r="D38" s="68">
        <f>+'กระดาษทำการ 30 เม.ย.58'!BP41</f>
        <v>0</v>
      </c>
      <c r="E38" s="68">
        <f>+'กระดาษทำการ 30 เม.ย.58'!BQ41</f>
        <v>16695</v>
      </c>
      <c r="F38" s="68"/>
      <c r="G38" s="68"/>
      <c r="H38" s="90"/>
      <c r="I38" s="91">
        <f t="shared" si="31"/>
        <v>16695</v>
      </c>
      <c r="J38" s="68"/>
      <c r="K38" s="68"/>
      <c r="L38" s="91"/>
      <c r="M38" s="91">
        <f t="shared" si="32"/>
        <v>16695</v>
      </c>
      <c r="N38" s="68"/>
      <c r="O38" s="68"/>
      <c r="P38" s="91"/>
      <c r="Q38" s="91">
        <f t="shared" si="25"/>
        <v>16695</v>
      </c>
      <c r="R38" s="68"/>
      <c r="S38" s="68"/>
      <c r="T38" s="91"/>
      <c r="U38" s="91">
        <f t="shared" si="26"/>
        <v>16695</v>
      </c>
      <c r="V38" s="68"/>
      <c r="W38" s="68"/>
      <c r="X38" s="91"/>
      <c r="Y38" s="91">
        <f t="shared" si="20"/>
        <v>16695</v>
      </c>
      <c r="Z38" s="68"/>
      <c r="AA38" s="68"/>
      <c r="AB38" s="91"/>
      <c r="AC38" s="91">
        <f t="shared" si="27"/>
        <v>16695</v>
      </c>
      <c r="AD38" s="68"/>
      <c r="AE38" s="68"/>
      <c r="AF38" s="91"/>
      <c r="AG38" s="91">
        <f t="shared" si="28"/>
        <v>16695</v>
      </c>
      <c r="AH38" s="68"/>
      <c r="AI38" s="68"/>
      <c r="AJ38" s="91"/>
      <c r="AK38" s="91">
        <f t="shared" si="9"/>
        <v>16695</v>
      </c>
      <c r="AL38" s="68"/>
      <c r="AM38" s="68"/>
      <c r="AN38" s="91"/>
      <c r="AO38" s="91">
        <f t="shared" si="33"/>
        <v>16695</v>
      </c>
      <c r="AP38" s="68"/>
      <c r="AQ38" s="68"/>
      <c r="AR38" s="90">
        <f t="shared" si="34"/>
        <v>0</v>
      </c>
      <c r="AS38" s="91">
        <f t="shared" si="29"/>
        <v>16695</v>
      </c>
      <c r="AT38" s="68"/>
      <c r="AU38" s="68"/>
      <c r="AV38" s="68"/>
      <c r="AW38" s="68">
        <f t="shared" si="35"/>
        <v>16695</v>
      </c>
      <c r="AX38" s="68"/>
      <c r="AY38" s="68"/>
      <c r="AZ38" s="68"/>
      <c r="BA38" s="68"/>
      <c r="BB38" s="68"/>
      <c r="BC38" s="68"/>
      <c r="BD38" s="68"/>
      <c r="BE38" s="68">
        <f t="shared" si="30"/>
        <v>16695</v>
      </c>
      <c r="BF38" s="31"/>
      <c r="BG38" s="32"/>
      <c r="BH38" s="27"/>
      <c r="BI38" s="32"/>
      <c r="BJ38" s="32"/>
      <c r="BK38" s="32">
        <f t="shared" si="36"/>
        <v>16695</v>
      </c>
      <c r="BL38" s="32"/>
      <c r="BM38" s="32"/>
      <c r="BN38" s="32"/>
      <c r="BO38" s="32"/>
      <c r="BP38" s="32"/>
      <c r="BQ38" s="32">
        <f t="shared" ref="BQ38:BQ47" si="37">BK38</f>
        <v>16695</v>
      </c>
    </row>
    <row r="39" spans="1:69" x14ac:dyDescent="0.5">
      <c r="A39" s="61">
        <v>33</v>
      </c>
      <c r="B39" s="81" t="s">
        <v>5</v>
      </c>
      <c r="C39" s="67">
        <v>159</v>
      </c>
      <c r="D39" s="68">
        <f>+'กระดาษทำการ 30 เม.ย.58'!BP42</f>
        <v>0</v>
      </c>
      <c r="E39" s="68">
        <f>+'กระดาษทำการ 30 เม.ย.58'!BQ42</f>
        <v>600</v>
      </c>
      <c r="F39" s="68"/>
      <c r="G39" s="68"/>
      <c r="H39" s="90"/>
      <c r="I39" s="91">
        <f t="shared" si="31"/>
        <v>600</v>
      </c>
      <c r="J39" s="68"/>
      <c r="K39" s="68"/>
      <c r="L39" s="91"/>
      <c r="M39" s="91">
        <f t="shared" si="32"/>
        <v>600</v>
      </c>
      <c r="N39" s="68"/>
      <c r="O39" s="68"/>
      <c r="P39" s="91"/>
      <c r="Q39" s="91">
        <f t="shared" si="25"/>
        <v>600</v>
      </c>
      <c r="R39" s="68"/>
      <c r="S39" s="68"/>
      <c r="T39" s="91"/>
      <c r="U39" s="91">
        <f t="shared" si="26"/>
        <v>600</v>
      </c>
      <c r="V39" s="68"/>
      <c r="W39" s="68"/>
      <c r="X39" s="91"/>
      <c r="Y39" s="91">
        <f t="shared" si="20"/>
        <v>600</v>
      </c>
      <c r="Z39" s="68"/>
      <c r="AA39" s="68"/>
      <c r="AB39" s="91"/>
      <c r="AC39" s="91">
        <f t="shared" si="27"/>
        <v>600</v>
      </c>
      <c r="AD39" s="68"/>
      <c r="AE39" s="68"/>
      <c r="AF39" s="91"/>
      <c r="AG39" s="91">
        <f t="shared" si="28"/>
        <v>600</v>
      </c>
      <c r="AH39" s="68"/>
      <c r="AI39" s="68"/>
      <c r="AJ39" s="91"/>
      <c r="AK39" s="91">
        <f t="shared" si="9"/>
        <v>600</v>
      </c>
      <c r="AL39" s="68"/>
      <c r="AM39" s="68"/>
      <c r="AN39" s="91"/>
      <c r="AO39" s="91">
        <f t="shared" si="33"/>
        <v>600</v>
      </c>
      <c r="AP39" s="68"/>
      <c r="AQ39" s="68"/>
      <c r="AR39" s="90">
        <f t="shared" si="34"/>
        <v>0</v>
      </c>
      <c r="AS39" s="91">
        <f t="shared" si="29"/>
        <v>600</v>
      </c>
      <c r="AT39" s="68"/>
      <c r="AU39" s="68"/>
      <c r="AV39" s="68"/>
      <c r="AW39" s="68">
        <f t="shared" si="35"/>
        <v>600</v>
      </c>
      <c r="AX39" s="68"/>
      <c r="AY39" s="68"/>
      <c r="AZ39" s="68"/>
      <c r="BA39" s="68"/>
      <c r="BB39" s="68"/>
      <c r="BC39" s="68"/>
      <c r="BD39" s="68"/>
      <c r="BE39" s="68">
        <f t="shared" si="30"/>
        <v>600</v>
      </c>
      <c r="BF39" s="31"/>
      <c r="BG39" s="32"/>
      <c r="BH39" s="27"/>
      <c r="BI39" s="32"/>
      <c r="BJ39" s="32"/>
      <c r="BK39" s="32">
        <f t="shared" si="36"/>
        <v>600</v>
      </c>
      <c r="BL39" s="32"/>
      <c r="BM39" s="32"/>
      <c r="BN39" s="32"/>
      <c r="BO39" s="32"/>
      <c r="BP39" s="32"/>
      <c r="BQ39" s="32">
        <f t="shared" si="37"/>
        <v>600</v>
      </c>
    </row>
    <row r="40" spans="1:69" x14ac:dyDescent="0.5">
      <c r="A40" s="61">
        <v>34</v>
      </c>
      <c r="B40" s="81" t="s">
        <v>0</v>
      </c>
      <c r="C40" s="67">
        <v>163</v>
      </c>
      <c r="D40" s="68">
        <f>+'กระดาษทำการ 30 เม.ย.58'!BP43</f>
        <v>0</v>
      </c>
      <c r="E40" s="68">
        <f>+'กระดาษทำการ 30 เม.ย.58'!BQ43</f>
        <v>6209.34</v>
      </c>
      <c r="F40" s="68"/>
      <c r="G40" s="68"/>
      <c r="H40" s="90"/>
      <c r="I40" s="91">
        <f t="shared" si="31"/>
        <v>6209.34</v>
      </c>
      <c r="J40" s="68"/>
      <c r="K40" s="68"/>
      <c r="L40" s="91"/>
      <c r="M40" s="91">
        <f t="shared" si="32"/>
        <v>6209.34</v>
      </c>
      <c r="N40" s="68"/>
      <c r="O40" s="68"/>
      <c r="P40" s="91"/>
      <c r="Q40" s="91">
        <f t="shared" si="25"/>
        <v>6209.34</v>
      </c>
      <c r="R40" s="68"/>
      <c r="S40" s="68"/>
      <c r="T40" s="91"/>
      <c r="U40" s="91">
        <f>+Q40+S40-R40</f>
        <v>6209.34</v>
      </c>
      <c r="V40" s="68"/>
      <c r="W40" s="68"/>
      <c r="X40" s="91"/>
      <c r="Y40" s="91">
        <f t="shared" si="20"/>
        <v>6209.34</v>
      </c>
      <c r="Z40" s="68"/>
      <c r="AA40" s="68"/>
      <c r="AB40" s="91"/>
      <c r="AC40" s="91">
        <f t="shared" si="27"/>
        <v>6209.34</v>
      </c>
      <c r="AD40" s="68"/>
      <c r="AE40" s="68"/>
      <c r="AF40" s="91"/>
      <c r="AG40" s="91">
        <f t="shared" si="28"/>
        <v>6209.34</v>
      </c>
      <c r="AH40" s="68"/>
      <c r="AI40" s="68"/>
      <c r="AJ40" s="91"/>
      <c r="AK40" s="91">
        <f t="shared" si="9"/>
        <v>6209.34</v>
      </c>
      <c r="AL40" s="68"/>
      <c r="AM40" s="68"/>
      <c r="AN40" s="91"/>
      <c r="AO40" s="91">
        <f t="shared" si="33"/>
        <v>6209.34</v>
      </c>
      <c r="AP40" s="68"/>
      <c r="AQ40" s="68"/>
      <c r="AR40" s="90">
        <f t="shared" si="34"/>
        <v>0</v>
      </c>
      <c r="AS40" s="91">
        <f t="shared" si="29"/>
        <v>6209.34</v>
      </c>
      <c r="AT40" s="68"/>
      <c r="AU40" s="68"/>
      <c r="AV40" s="68"/>
      <c r="AW40" s="68">
        <f t="shared" si="35"/>
        <v>6209.34</v>
      </c>
      <c r="AX40" s="68"/>
      <c r="AY40" s="68"/>
      <c r="AZ40" s="68"/>
      <c r="BA40" s="68"/>
      <c r="BB40" s="68"/>
      <c r="BC40" s="68"/>
      <c r="BD40" s="68"/>
      <c r="BE40" s="68">
        <f t="shared" si="30"/>
        <v>6209.34</v>
      </c>
      <c r="BF40" s="31"/>
      <c r="BG40" s="32"/>
      <c r="BH40" s="27"/>
      <c r="BI40" s="32"/>
      <c r="BJ40" s="32"/>
      <c r="BK40" s="32">
        <f t="shared" si="36"/>
        <v>6209.34</v>
      </c>
      <c r="BL40" s="32"/>
      <c r="BM40" s="32"/>
      <c r="BN40" s="32"/>
      <c r="BO40" s="32"/>
      <c r="BP40" s="32"/>
      <c r="BQ40" s="32">
        <f t="shared" si="37"/>
        <v>6209.34</v>
      </c>
    </row>
    <row r="41" spans="1:69" x14ac:dyDescent="0.5">
      <c r="A41" s="61">
        <v>35</v>
      </c>
      <c r="B41" s="81" t="s">
        <v>60</v>
      </c>
      <c r="C41" s="67">
        <v>167</v>
      </c>
      <c r="D41" s="68">
        <f>+'กระดาษทำการ 30 เม.ย.58'!BP44</f>
        <v>0</v>
      </c>
      <c r="E41" s="68">
        <f>+'กระดาษทำการ 30 เม.ย.58'!BQ44</f>
        <v>600</v>
      </c>
      <c r="F41" s="68"/>
      <c r="G41" s="68"/>
      <c r="H41" s="90"/>
      <c r="I41" s="91">
        <f t="shared" si="31"/>
        <v>600</v>
      </c>
      <c r="J41" s="68"/>
      <c r="K41" s="68"/>
      <c r="L41" s="91"/>
      <c r="M41" s="91">
        <f t="shared" si="32"/>
        <v>600</v>
      </c>
      <c r="N41" s="68"/>
      <c r="O41" s="68"/>
      <c r="P41" s="91"/>
      <c r="Q41" s="91">
        <f t="shared" si="25"/>
        <v>600</v>
      </c>
      <c r="R41" s="68"/>
      <c r="S41" s="68"/>
      <c r="T41" s="91"/>
      <c r="U41" s="91">
        <f t="shared" si="26"/>
        <v>600</v>
      </c>
      <c r="V41" s="68"/>
      <c r="W41" s="68"/>
      <c r="X41" s="91"/>
      <c r="Y41" s="91">
        <f t="shared" si="20"/>
        <v>600</v>
      </c>
      <c r="Z41" s="68"/>
      <c r="AA41" s="68"/>
      <c r="AB41" s="91"/>
      <c r="AC41" s="91">
        <f t="shared" si="27"/>
        <v>600</v>
      </c>
      <c r="AD41" s="68"/>
      <c r="AE41" s="68"/>
      <c r="AF41" s="91"/>
      <c r="AG41" s="91">
        <f t="shared" si="28"/>
        <v>600</v>
      </c>
      <c r="AH41" s="68"/>
      <c r="AI41" s="68"/>
      <c r="AJ41" s="91"/>
      <c r="AK41" s="91">
        <f t="shared" si="9"/>
        <v>600</v>
      </c>
      <c r="AL41" s="68"/>
      <c r="AM41" s="68"/>
      <c r="AN41" s="91"/>
      <c r="AO41" s="91">
        <f t="shared" si="33"/>
        <v>600</v>
      </c>
      <c r="AP41" s="68"/>
      <c r="AQ41" s="68"/>
      <c r="AR41" s="90">
        <f t="shared" si="34"/>
        <v>0</v>
      </c>
      <c r="AS41" s="91">
        <f t="shared" si="29"/>
        <v>600</v>
      </c>
      <c r="AT41" s="68"/>
      <c r="AU41" s="68"/>
      <c r="AV41" s="68"/>
      <c r="AW41" s="68">
        <f t="shared" si="35"/>
        <v>600</v>
      </c>
      <c r="AX41" s="68"/>
      <c r="AY41" s="68"/>
      <c r="AZ41" s="68"/>
      <c r="BA41" s="68"/>
      <c r="BB41" s="68"/>
      <c r="BC41" s="68"/>
      <c r="BD41" s="68"/>
      <c r="BE41" s="68">
        <f t="shared" si="30"/>
        <v>600</v>
      </c>
      <c r="BF41" s="31"/>
      <c r="BG41" s="32"/>
      <c r="BH41" s="27"/>
      <c r="BI41" s="32"/>
      <c r="BJ41" s="32"/>
      <c r="BK41" s="32">
        <f t="shared" si="36"/>
        <v>600</v>
      </c>
      <c r="BL41" s="32"/>
      <c r="BM41" s="32"/>
      <c r="BN41" s="32"/>
      <c r="BO41" s="32"/>
      <c r="BP41" s="32"/>
      <c r="BQ41" s="32">
        <f t="shared" si="37"/>
        <v>600</v>
      </c>
    </row>
    <row r="42" spans="1:69" x14ac:dyDescent="0.5">
      <c r="A42" s="61">
        <v>36</v>
      </c>
      <c r="B42" s="81" t="s">
        <v>61</v>
      </c>
      <c r="C42" s="67">
        <v>171</v>
      </c>
      <c r="D42" s="68">
        <f>+'กระดาษทำการ 30 เม.ย.58'!BP45</f>
        <v>0</v>
      </c>
      <c r="E42" s="68">
        <f>+'กระดาษทำการ 30 เม.ย.58'!BQ45</f>
        <v>69060.149999999994</v>
      </c>
      <c r="F42" s="68"/>
      <c r="G42" s="68"/>
      <c r="H42" s="90"/>
      <c r="I42" s="91">
        <f t="shared" si="31"/>
        <v>69060.149999999994</v>
      </c>
      <c r="J42" s="68"/>
      <c r="K42" s="68"/>
      <c r="L42" s="91"/>
      <c r="M42" s="91">
        <f>+I42-J42+K42</f>
        <v>69060.149999999994</v>
      </c>
      <c r="N42" s="68"/>
      <c r="O42" s="68"/>
      <c r="P42" s="91"/>
      <c r="Q42" s="91">
        <f t="shared" si="25"/>
        <v>69060.149999999994</v>
      </c>
      <c r="R42" s="68"/>
      <c r="S42" s="68"/>
      <c r="T42" s="91"/>
      <c r="U42" s="91">
        <f t="shared" si="26"/>
        <v>69060.149999999994</v>
      </c>
      <c r="V42" s="68"/>
      <c r="W42" s="68"/>
      <c r="X42" s="91"/>
      <c r="Y42" s="91">
        <f t="shared" si="20"/>
        <v>69060.149999999994</v>
      </c>
      <c r="Z42" s="68"/>
      <c r="AA42" s="68"/>
      <c r="AB42" s="91"/>
      <c r="AC42" s="91">
        <f>+Y42+AA42-Z42</f>
        <v>69060.149999999994</v>
      </c>
      <c r="AD42" s="68"/>
      <c r="AE42" s="68"/>
      <c r="AF42" s="91"/>
      <c r="AG42" s="91">
        <f t="shared" si="28"/>
        <v>69060.149999999994</v>
      </c>
      <c r="AH42" s="68"/>
      <c r="AI42" s="68"/>
      <c r="AJ42" s="91"/>
      <c r="AK42" s="91">
        <f t="shared" si="9"/>
        <v>69060.149999999994</v>
      </c>
      <c r="AL42" s="68"/>
      <c r="AM42" s="68"/>
      <c r="AN42" s="91"/>
      <c r="AO42" s="91">
        <f t="shared" si="33"/>
        <v>69060.149999999994</v>
      </c>
      <c r="AP42" s="68"/>
      <c r="AQ42" s="68"/>
      <c r="AR42" s="90">
        <f t="shared" ref="AR42:AR46" si="38">+AN42+AP42-AQ42</f>
        <v>0</v>
      </c>
      <c r="AS42" s="91">
        <f t="shared" ref="AS42:AS46" si="39">+AO42+AQ42-AP42</f>
        <v>69060.149999999994</v>
      </c>
      <c r="AT42" s="68"/>
      <c r="AU42" s="68"/>
      <c r="AV42" s="68"/>
      <c r="AW42" s="68">
        <f t="shared" si="35"/>
        <v>69060.149999999994</v>
      </c>
      <c r="AX42" s="68"/>
      <c r="AY42" s="68"/>
      <c r="AZ42" s="68"/>
      <c r="BA42" s="68"/>
      <c r="BB42" s="68"/>
      <c r="BC42" s="68"/>
      <c r="BD42" s="68"/>
      <c r="BE42" s="68">
        <f t="shared" si="30"/>
        <v>69060.149999999994</v>
      </c>
      <c r="BF42" s="31"/>
      <c r="BG42" s="32"/>
      <c r="BH42" s="27"/>
      <c r="BI42" s="32"/>
      <c r="BJ42" s="32"/>
      <c r="BK42" s="32">
        <f t="shared" si="36"/>
        <v>69060.149999999994</v>
      </c>
      <c r="BL42" s="32"/>
      <c r="BM42" s="32"/>
      <c r="BN42" s="32"/>
      <c r="BO42" s="32"/>
      <c r="BP42" s="32"/>
      <c r="BQ42" s="32">
        <f t="shared" si="37"/>
        <v>69060.149999999994</v>
      </c>
    </row>
    <row r="43" spans="1:69" x14ac:dyDescent="0.5">
      <c r="A43" s="61">
        <v>37</v>
      </c>
      <c r="B43" s="83" t="s">
        <v>62</v>
      </c>
      <c r="C43" s="67">
        <v>67</v>
      </c>
      <c r="D43" s="68">
        <f>+'กระดาษทำการ 30 เม.ย.58'!BP46</f>
        <v>0</v>
      </c>
      <c r="E43" s="68">
        <f>+'กระดาษทำการ 30 เม.ย.58'!BQ46</f>
        <v>0</v>
      </c>
      <c r="F43" s="68"/>
      <c r="G43" s="68"/>
      <c r="H43" s="90"/>
      <c r="I43" s="91">
        <f t="shared" si="31"/>
        <v>0</v>
      </c>
      <c r="J43" s="68"/>
      <c r="K43" s="68"/>
      <c r="L43" s="91"/>
      <c r="M43" s="91">
        <f t="shared" si="32"/>
        <v>0</v>
      </c>
      <c r="N43" s="68"/>
      <c r="O43" s="68"/>
      <c r="P43" s="91"/>
      <c r="Q43" s="91">
        <f t="shared" si="25"/>
        <v>0</v>
      </c>
      <c r="R43" s="68"/>
      <c r="S43" s="68"/>
      <c r="T43" s="91"/>
      <c r="U43" s="91">
        <f>+Q43+S43-R43</f>
        <v>0</v>
      </c>
      <c r="V43" s="68"/>
      <c r="W43" s="68"/>
      <c r="X43" s="91"/>
      <c r="Y43" s="91">
        <f t="shared" si="20"/>
        <v>0</v>
      </c>
      <c r="Z43" s="68"/>
      <c r="AA43" s="68"/>
      <c r="AB43" s="91"/>
      <c r="AC43" s="91">
        <f t="shared" si="27"/>
        <v>0</v>
      </c>
      <c r="AD43" s="68"/>
      <c r="AE43" s="68"/>
      <c r="AF43" s="91"/>
      <c r="AG43" s="91">
        <f t="shared" si="28"/>
        <v>0</v>
      </c>
      <c r="AH43" s="68"/>
      <c r="AI43" s="68"/>
      <c r="AJ43" s="91"/>
      <c r="AK43" s="91">
        <f t="shared" si="9"/>
        <v>0</v>
      </c>
      <c r="AL43" s="68"/>
      <c r="AM43" s="68"/>
      <c r="AN43" s="91"/>
      <c r="AO43" s="91">
        <f t="shared" si="33"/>
        <v>0</v>
      </c>
      <c r="AP43" s="68"/>
      <c r="AQ43" s="68"/>
      <c r="AR43" s="90">
        <f t="shared" si="38"/>
        <v>0</v>
      </c>
      <c r="AS43" s="91">
        <f t="shared" si="39"/>
        <v>0</v>
      </c>
      <c r="AT43" s="68"/>
      <c r="AU43" s="68"/>
      <c r="AV43" s="68"/>
      <c r="AW43" s="68">
        <f t="shared" si="35"/>
        <v>0</v>
      </c>
      <c r="AX43" s="68"/>
      <c r="AY43" s="68"/>
      <c r="AZ43" s="68"/>
      <c r="BA43" s="68"/>
      <c r="BB43" s="68"/>
      <c r="BC43" s="68"/>
      <c r="BD43" s="68"/>
      <c r="BE43" s="68">
        <f t="shared" si="30"/>
        <v>0</v>
      </c>
      <c r="BF43" s="31">
        <v>15</v>
      </c>
      <c r="BG43" s="32">
        <v>91400</v>
      </c>
      <c r="BH43" s="27"/>
      <c r="BI43" s="32"/>
      <c r="BJ43" s="32"/>
      <c r="BK43" s="32">
        <f t="shared" si="36"/>
        <v>-91400</v>
      </c>
      <c r="BL43" s="32"/>
      <c r="BM43" s="32"/>
      <c r="BN43" s="32"/>
      <c r="BO43" s="32"/>
      <c r="BP43" s="32"/>
      <c r="BQ43" s="32">
        <f t="shared" si="37"/>
        <v>-91400</v>
      </c>
    </row>
    <row r="44" spans="1:69" ht="24" x14ac:dyDescent="0.55000000000000004">
      <c r="A44" s="61">
        <v>38</v>
      </c>
      <c r="B44" s="83" t="s">
        <v>83</v>
      </c>
      <c r="C44" s="67"/>
      <c r="D44" s="68">
        <f>+'กระดาษทำการ 30 เม.ย.58'!BP47</f>
        <v>0</v>
      </c>
      <c r="E44" s="68">
        <f>+'กระดาษทำการ 30 เม.ย.58'!BQ47</f>
        <v>0</v>
      </c>
      <c r="F44" s="68"/>
      <c r="G44" s="68"/>
      <c r="H44" s="90"/>
      <c r="I44" s="91">
        <f t="shared" si="31"/>
        <v>0</v>
      </c>
      <c r="J44" s="76"/>
      <c r="K44" s="76">
        <f>7370+7370</f>
        <v>14740</v>
      </c>
      <c r="L44" s="91"/>
      <c r="M44" s="91">
        <f t="shared" si="32"/>
        <v>14740</v>
      </c>
      <c r="N44" s="76"/>
      <c r="O44" s="76">
        <f>7370+7370</f>
        <v>14740</v>
      </c>
      <c r="P44" s="91"/>
      <c r="Q44" s="91">
        <f t="shared" si="25"/>
        <v>29480</v>
      </c>
      <c r="R44" s="68"/>
      <c r="S44" s="68"/>
      <c r="T44" s="91"/>
      <c r="U44" s="91">
        <f t="shared" si="26"/>
        <v>29480</v>
      </c>
      <c r="V44" s="60"/>
      <c r="W44" s="60">
        <f>7370+7370</f>
        <v>14740</v>
      </c>
      <c r="X44" s="91"/>
      <c r="Y44" s="91">
        <f t="shared" si="20"/>
        <v>44220</v>
      </c>
      <c r="Z44" s="68"/>
      <c r="AA44" s="68">
        <v>7370</v>
      </c>
      <c r="AB44" s="91"/>
      <c r="AC44" s="91">
        <f t="shared" si="27"/>
        <v>51590</v>
      </c>
      <c r="AD44" s="68"/>
      <c r="AE44" s="68"/>
      <c r="AF44" s="91"/>
      <c r="AG44" s="91">
        <f t="shared" si="28"/>
        <v>51590</v>
      </c>
      <c r="AH44" s="68"/>
      <c r="AI44" s="68"/>
      <c r="AJ44" s="91"/>
      <c r="AK44" s="91">
        <f t="shared" si="9"/>
        <v>51590</v>
      </c>
      <c r="AL44" s="68"/>
      <c r="AM44" s="68"/>
      <c r="AN44" s="91"/>
      <c r="AO44" s="91">
        <f>+AK44</f>
        <v>51590</v>
      </c>
      <c r="AP44" s="68"/>
      <c r="AQ44" s="68"/>
      <c r="AR44" s="90">
        <f t="shared" si="38"/>
        <v>0</v>
      </c>
      <c r="AS44" s="91">
        <f t="shared" si="39"/>
        <v>51590</v>
      </c>
      <c r="AT44" s="68"/>
      <c r="AU44" s="68"/>
      <c r="AV44" s="68"/>
      <c r="AW44" s="68">
        <f t="shared" si="35"/>
        <v>51590</v>
      </c>
      <c r="AX44" s="68"/>
      <c r="AY44" s="68"/>
      <c r="AZ44" s="68"/>
      <c r="BA44" s="68"/>
      <c r="BB44" s="68"/>
      <c r="BC44" s="68"/>
      <c r="BD44" s="68"/>
      <c r="BE44" s="68">
        <f t="shared" si="30"/>
        <v>0</v>
      </c>
      <c r="BF44" s="31">
        <v>16</v>
      </c>
      <c r="BG44" s="32">
        <v>22110</v>
      </c>
      <c r="BH44" s="27"/>
      <c r="BI44" s="32"/>
      <c r="BJ44" s="32"/>
      <c r="BK44" s="32">
        <f t="shared" si="36"/>
        <v>-22110</v>
      </c>
      <c r="BL44" s="32"/>
      <c r="BM44" s="32"/>
      <c r="BN44" s="32"/>
      <c r="BO44" s="32"/>
      <c r="BP44" s="32"/>
      <c r="BQ44" s="32">
        <f t="shared" si="37"/>
        <v>-22110</v>
      </c>
    </row>
    <row r="45" spans="1:69" x14ac:dyDescent="0.5">
      <c r="A45" s="67">
        <v>39</v>
      </c>
      <c r="B45" s="84" t="s">
        <v>63</v>
      </c>
      <c r="C45" s="67">
        <v>177</v>
      </c>
      <c r="D45" s="68">
        <f>+'กระดาษทำการ 30 เม.ย.58'!BP48</f>
        <v>0</v>
      </c>
      <c r="E45" s="68">
        <f>+'กระดาษทำการ 30 เม.ย.58'!BQ48</f>
        <v>200000</v>
      </c>
      <c r="F45" s="68"/>
      <c r="G45" s="68"/>
      <c r="H45" s="91"/>
      <c r="I45" s="91">
        <f t="shared" si="31"/>
        <v>200000</v>
      </c>
      <c r="J45" s="68"/>
      <c r="K45" s="68"/>
      <c r="L45" s="91"/>
      <c r="M45" s="91">
        <f t="shared" si="32"/>
        <v>200000</v>
      </c>
      <c r="N45" s="68"/>
      <c r="O45" s="68"/>
      <c r="P45" s="91"/>
      <c r="Q45" s="91">
        <f t="shared" si="25"/>
        <v>200000</v>
      </c>
      <c r="R45" s="68"/>
      <c r="S45" s="68"/>
      <c r="T45" s="91"/>
      <c r="U45" s="91">
        <f t="shared" si="26"/>
        <v>200000</v>
      </c>
      <c r="V45" s="68"/>
      <c r="W45" s="68"/>
      <c r="X45" s="91"/>
      <c r="Y45" s="91">
        <f t="shared" si="20"/>
        <v>200000</v>
      </c>
      <c r="Z45" s="68"/>
      <c r="AA45" s="68"/>
      <c r="AB45" s="91"/>
      <c r="AC45" s="91">
        <f t="shared" si="27"/>
        <v>200000</v>
      </c>
      <c r="AD45" s="68"/>
      <c r="AE45" s="68"/>
      <c r="AF45" s="91"/>
      <c r="AG45" s="91">
        <f t="shared" si="28"/>
        <v>200000</v>
      </c>
      <c r="AH45" s="68"/>
      <c r="AI45" s="68"/>
      <c r="AJ45" s="91"/>
      <c r="AK45" s="91">
        <f t="shared" si="9"/>
        <v>200000</v>
      </c>
      <c r="AL45" s="68"/>
      <c r="AM45" s="68"/>
      <c r="AN45" s="91"/>
      <c r="AO45" s="91">
        <f t="shared" si="33"/>
        <v>200000</v>
      </c>
      <c r="AP45" s="68"/>
      <c r="AQ45" s="68"/>
      <c r="AR45" s="91">
        <f t="shared" si="38"/>
        <v>0</v>
      </c>
      <c r="AS45" s="91">
        <f t="shared" si="39"/>
        <v>200000</v>
      </c>
      <c r="AT45" s="68"/>
      <c r="AU45" s="68"/>
      <c r="AV45" s="68"/>
      <c r="AW45" s="68">
        <f t="shared" si="35"/>
        <v>200000</v>
      </c>
      <c r="AX45" s="68"/>
      <c r="AY45" s="68"/>
      <c r="AZ45" s="68"/>
      <c r="BA45" s="68"/>
      <c r="BB45" s="68"/>
      <c r="BC45" s="68"/>
      <c r="BD45" s="68"/>
      <c r="BE45" s="68">
        <f t="shared" si="30"/>
        <v>200000</v>
      </c>
      <c r="BF45" s="31"/>
      <c r="BG45" s="32"/>
      <c r="BH45" s="27"/>
      <c r="BI45" s="32"/>
      <c r="BJ45" s="32"/>
      <c r="BK45" s="32">
        <f t="shared" si="36"/>
        <v>200000</v>
      </c>
      <c r="BL45" s="32"/>
      <c r="BM45" s="32"/>
      <c r="BN45" s="32"/>
      <c r="BO45" s="32"/>
      <c r="BP45" s="32"/>
      <c r="BQ45" s="32">
        <f t="shared" si="37"/>
        <v>200000</v>
      </c>
    </row>
    <row r="46" spans="1:69" x14ac:dyDescent="0.5">
      <c r="A46" s="61">
        <v>40</v>
      </c>
      <c r="B46" s="84" t="s">
        <v>108</v>
      </c>
      <c r="C46" s="67"/>
      <c r="D46" s="68">
        <f>+'กระดาษทำการ 30 เม.ย.58'!BP49</f>
        <v>0</v>
      </c>
      <c r="E46" s="68">
        <f>+'กระดาษทำการ 30 เม.ย.58'!BQ49</f>
        <v>50000</v>
      </c>
      <c r="F46" s="68"/>
      <c r="G46" s="68"/>
      <c r="H46" s="90"/>
      <c r="I46" s="91">
        <f t="shared" si="31"/>
        <v>50000</v>
      </c>
      <c r="J46" s="68"/>
      <c r="K46" s="68"/>
      <c r="L46" s="91"/>
      <c r="M46" s="91">
        <f t="shared" si="32"/>
        <v>50000</v>
      </c>
      <c r="N46" s="68"/>
      <c r="O46" s="68"/>
      <c r="P46" s="91"/>
      <c r="Q46" s="91">
        <f t="shared" si="25"/>
        <v>50000</v>
      </c>
      <c r="R46" s="68"/>
      <c r="S46" s="68"/>
      <c r="T46" s="91"/>
      <c r="U46" s="91">
        <f t="shared" si="26"/>
        <v>50000</v>
      </c>
      <c r="V46" s="68"/>
      <c r="W46" s="68"/>
      <c r="X46" s="91"/>
      <c r="Y46" s="91">
        <f t="shared" si="20"/>
        <v>50000</v>
      </c>
      <c r="Z46" s="68"/>
      <c r="AA46" s="68"/>
      <c r="AB46" s="91"/>
      <c r="AC46" s="91">
        <f t="shared" si="27"/>
        <v>50000</v>
      </c>
      <c r="AD46" s="68"/>
      <c r="AE46" s="68"/>
      <c r="AF46" s="91"/>
      <c r="AG46" s="91">
        <f t="shared" si="28"/>
        <v>50000</v>
      </c>
      <c r="AH46" s="68"/>
      <c r="AI46" s="68"/>
      <c r="AJ46" s="91"/>
      <c r="AK46" s="91">
        <f t="shared" si="9"/>
        <v>50000</v>
      </c>
      <c r="AL46" s="68"/>
      <c r="AM46" s="68"/>
      <c r="AN46" s="91"/>
      <c r="AO46" s="91">
        <f t="shared" si="33"/>
        <v>50000</v>
      </c>
      <c r="AP46" s="68"/>
      <c r="AQ46" s="68"/>
      <c r="AR46" s="90">
        <f t="shared" si="38"/>
        <v>0</v>
      </c>
      <c r="AS46" s="91">
        <f t="shared" si="39"/>
        <v>50000</v>
      </c>
      <c r="AT46" s="68"/>
      <c r="AU46" s="68"/>
      <c r="AV46" s="68"/>
      <c r="AW46" s="68">
        <f>+AS46+AU46-AT46</f>
        <v>50000</v>
      </c>
      <c r="AX46" s="68"/>
      <c r="AY46" s="68"/>
      <c r="AZ46" s="68"/>
      <c r="BA46" s="68"/>
      <c r="BB46" s="68"/>
      <c r="BC46" s="68"/>
      <c r="BD46" s="68"/>
      <c r="BE46" s="68">
        <v>50000</v>
      </c>
      <c r="BF46" s="31"/>
      <c r="BG46" s="32"/>
      <c r="BH46" s="27"/>
      <c r="BI46" s="32"/>
      <c r="BJ46" s="32"/>
      <c r="BK46" s="32">
        <f>BE46</f>
        <v>50000</v>
      </c>
      <c r="BL46" s="32"/>
      <c r="BM46" s="32"/>
      <c r="BN46" s="32"/>
      <c r="BO46" s="32"/>
      <c r="BP46" s="32"/>
      <c r="BQ46" s="32">
        <f t="shared" si="37"/>
        <v>50000</v>
      </c>
    </row>
    <row r="47" spans="1:69" x14ac:dyDescent="0.5">
      <c r="A47" s="61">
        <v>41</v>
      </c>
      <c r="B47" s="81" t="s">
        <v>64</v>
      </c>
      <c r="C47" s="67">
        <v>181</v>
      </c>
      <c r="D47" s="68">
        <f>+'กระดาษทำการ 30 เม.ย.58'!BP50</f>
        <v>0</v>
      </c>
      <c r="E47" s="68">
        <f>+'กระดาษทำการ 30 เม.ย.58'!BQ50</f>
        <v>3528929</v>
      </c>
      <c r="F47" s="68"/>
      <c r="G47" s="68"/>
      <c r="H47" s="90"/>
      <c r="I47" s="91">
        <f t="shared" si="31"/>
        <v>3528929</v>
      </c>
      <c r="J47" s="68"/>
      <c r="K47" s="68"/>
      <c r="L47" s="91"/>
      <c r="M47" s="91">
        <f t="shared" si="32"/>
        <v>3528929</v>
      </c>
      <c r="N47" s="68"/>
      <c r="O47" s="68"/>
      <c r="P47" s="91"/>
      <c r="Q47" s="91">
        <f t="shared" si="25"/>
        <v>3528929</v>
      </c>
      <c r="R47" s="68"/>
      <c r="S47" s="68"/>
      <c r="T47" s="91"/>
      <c r="U47" s="91">
        <f t="shared" si="26"/>
        <v>3528929</v>
      </c>
      <c r="V47" s="68"/>
      <c r="W47" s="68"/>
      <c r="X47" s="91"/>
      <c r="Y47" s="91">
        <f t="shared" si="20"/>
        <v>3528929</v>
      </c>
      <c r="Z47" s="68"/>
      <c r="AA47" s="68"/>
      <c r="AB47" s="91"/>
      <c r="AC47" s="91">
        <f t="shared" si="27"/>
        <v>3528929</v>
      </c>
      <c r="AD47" s="68"/>
      <c r="AE47" s="68"/>
      <c r="AF47" s="91"/>
      <c r="AG47" s="91">
        <f t="shared" si="28"/>
        <v>3528929</v>
      </c>
      <c r="AH47" s="68"/>
      <c r="AI47" s="68"/>
      <c r="AJ47" s="91"/>
      <c r="AK47" s="91">
        <f t="shared" si="9"/>
        <v>3528929</v>
      </c>
      <c r="AL47" s="68"/>
      <c r="AM47" s="68"/>
      <c r="AN47" s="91"/>
      <c r="AO47" s="91">
        <f t="shared" si="33"/>
        <v>3528929</v>
      </c>
      <c r="AP47" s="68"/>
      <c r="AQ47" s="68"/>
      <c r="AR47" s="90">
        <f t="shared" ref="AR47:AR50" si="40">+AN47+AP47-AQ47</f>
        <v>0</v>
      </c>
      <c r="AS47" s="91">
        <f t="shared" ref="AS47:AS50" si="41">+AO47+AQ47-AP47</f>
        <v>3528929</v>
      </c>
      <c r="AT47" s="68"/>
      <c r="AU47" s="68"/>
      <c r="AV47" s="68"/>
      <c r="AW47" s="68">
        <f t="shared" si="35"/>
        <v>3528929</v>
      </c>
      <c r="AX47" s="68"/>
      <c r="AY47" s="68"/>
      <c r="AZ47" s="68"/>
      <c r="BA47" s="68"/>
      <c r="BB47" s="68"/>
      <c r="BC47" s="68"/>
      <c r="BD47" s="68"/>
      <c r="BE47" s="68">
        <f t="shared" si="30"/>
        <v>3528929</v>
      </c>
      <c r="BF47" s="31"/>
      <c r="BG47" s="32"/>
      <c r="BH47" s="27"/>
      <c r="BI47" s="32"/>
      <c r="BJ47" s="32"/>
      <c r="BK47" s="32">
        <f t="shared" si="36"/>
        <v>3528929</v>
      </c>
      <c r="BL47" s="32"/>
      <c r="BM47" s="32"/>
      <c r="BN47" s="32"/>
      <c r="BO47" s="32"/>
      <c r="BP47" s="32"/>
      <c r="BQ47" s="32">
        <f t="shared" si="37"/>
        <v>3528929</v>
      </c>
    </row>
    <row r="48" spans="1:69" s="110" customFormat="1" ht="24" x14ac:dyDescent="0.55000000000000004">
      <c r="A48" s="99">
        <v>42</v>
      </c>
      <c r="B48" s="100" t="s">
        <v>65</v>
      </c>
      <c r="C48" s="101">
        <v>191</v>
      </c>
      <c r="D48" s="102">
        <f>+'กระดาษทำการ 30 เม.ย.58'!BP51</f>
        <v>0</v>
      </c>
      <c r="E48" s="102">
        <f>+'กระดาษทำการ 30 เม.ย.58'!BQ51</f>
        <v>1118170</v>
      </c>
      <c r="F48" s="103"/>
      <c r="G48" s="103">
        <v>500</v>
      </c>
      <c r="H48" s="104"/>
      <c r="I48" s="105">
        <f>+E48-F48+G48</f>
        <v>1118670</v>
      </c>
      <c r="J48" s="103">
        <f>5200+1200</f>
        <v>6400</v>
      </c>
      <c r="K48" s="103"/>
      <c r="L48" s="105"/>
      <c r="M48" s="105">
        <f t="shared" si="32"/>
        <v>1112270</v>
      </c>
      <c r="N48" s="103">
        <v>1200</v>
      </c>
      <c r="O48" s="103">
        <f>750+16100</f>
        <v>16850</v>
      </c>
      <c r="P48" s="105"/>
      <c r="Q48" s="105">
        <f t="shared" si="25"/>
        <v>1127920</v>
      </c>
      <c r="R48" s="106">
        <v>100</v>
      </c>
      <c r="S48" s="106"/>
      <c r="T48" s="105"/>
      <c r="U48" s="105">
        <f t="shared" ref="U48:U62" si="42">+Q48+S48-R48</f>
        <v>1127820</v>
      </c>
      <c r="V48" s="102"/>
      <c r="W48" s="102"/>
      <c r="X48" s="105"/>
      <c r="Y48" s="105">
        <f t="shared" si="20"/>
        <v>1127820</v>
      </c>
      <c r="Z48" s="106">
        <f>700+950</f>
        <v>1650</v>
      </c>
      <c r="AA48" s="106">
        <v>4000</v>
      </c>
      <c r="AB48" s="105"/>
      <c r="AC48" s="105">
        <f t="shared" si="27"/>
        <v>1130170</v>
      </c>
      <c r="AD48" s="102"/>
      <c r="AE48" s="102">
        <f>500+1000</f>
        <v>1500</v>
      </c>
      <c r="AF48" s="105"/>
      <c r="AG48" s="105">
        <f t="shared" si="28"/>
        <v>1131670</v>
      </c>
      <c r="AH48" s="102"/>
      <c r="AI48" s="102"/>
      <c r="AJ48" s="105"/>
      <c r="AK48" s="105">
        <f t="shared" si="9"/>
        <v>1131670</v>
      </c>
      <c r="AL48" s="102"/>
      <c r="AM48" s="102">
        <f>13700+16100</f>
        <v>29800</v>
      </c>
      <c r="AN48" s="105"/>
      <c r="AO48" s="105">
        <f>+AK48+AM48-AL48</f>
        <v>1161470</v>
      </c>
      <c r="AP48" s="102"/>
      <c r="AQ48" s="102">
        <v>26500</v>
      </c>
      <c r="AR48" s="104">
        <v>0</v>
      </c>
      <c r="AS48" s="105">
        <f t="shared" si="41"/>
        <v>1187970</v>
      </c>
      <c r="AT48" s="106">
        <v>4750</v>
      </c>
      <c r="AU48" s="106">
        <f>15800+25150</f>
        <v>40950</v>
      </c>
      <c r="AV48" s="102"/>
      <c r="AW48" s="102">
        <f t="shared" si="35"/>
        <v>1224170</v>
      </c>
      <c r="AX48" s="102"/>
      <c r="AY48" s="102"/>
      <c r="AZ48" s="102"/>
      <c r="BA48" s="102"/>
      <c r="BB48" s="102"/>
      <c r="BC48" s="102"/>
      <c r="BD48" s="102"/>
      <c r="BE48" s="102">
        <f t="shared" si="30"/>
        <v>1118170</v>
      </c>
      <c r="BF48" s="107"/>
      <c r="BG48" s="108"/>
      <c r="BH48" s="109">
        <v>6</v>
      </c>
      <c r="BI48" s="108">
        <v>796</v>
      </c>
      <c r="BJ48" s="108"/>
      <c r="BK48" s="108">
        <f>BE48+BI48-BG48</f>
        <v>1118966</v>
      </c>
      <c r="BL48" s="108"/>
      <c r="BM48" s="108"/>
      <c r="BN48" s="108"/>
      <c r="BO48" s="108"/>
      <c r="BP48" s="108"/>
      <c r="BQ48" s="108">
        <f>BK48</f>
        <v>1118966</v>
      </c>
    </row>
    <row r="49" spans="1:69" x14ac:dyDescent="0.5">
      <c r="A49" s="67">
        <v>43</v>
      </c>
      <c r="B49" s="81" t="s">
        <v>22</v>
      </c>
      <c r="C49" s="67">
        <v>197</v>
      </c>
      <c r="D49" s="68">
        <f>+'กระดาษทำการ 30 เม.ย.58'!BP52</f>
        <v>0</v>
      </c>
      <c r="E49" s="68">
        <f>+'กระดาษทำการ 30 เม.ย.58'!BQ52</f>
        <v>0</v>
      </c>
      <c r="F49" s="68"/>
      <c r="G49" s="68"/>
      <c r="H49" s="91"/>
      <c r="I49" s="91">
        <f t="shared" si="31"/>
        <v>0</v>
      </c>
      <c r="J49" s="68"/>
      <c r="K49" s="68"/>
      <c r="L49" s="91"/>
      <c r="M49" s="91">
        <f t="shared" si="32"/>
        <v>0</v>
      </c>
      <c r="N49" s="68"/>
      <c r="O49" s="68"/>
      <c r="P49" s="91"/>
      <c r="Q49" s="91">
        <f t="shared" si="25"/>
        <v>0</v>
      </c>
      <c r="R49" s="68"/>
      <c r="S49" s="68"/>
      <c r="T49" s="91"/>
      <c r="U49" s="91">
        <f t="shared" si="42"/>
        <v>0</v>
      </c>
      <c r="V49" s="68"/>
      <c r="W49" s="68"/>
      <c r="X49" s="91"/>
      <c r="Y49" s="91">
        <f t="shared" si="20"/>
        <v>0</v>
      </c>
      <c r="Z49" s="68"/>
      <c r="AA49" s="68"/>
      <c r="AB49" s="91"/>
      <c r="AC49" s="91">
        <f>+Y49+AA49-Z49</f>
        <v>0</v>
      </c>
      <c r="AD49" s="68"/>
      <c r="AE49" s="68"/>
      <c r="AF49" s="91"/>
      <c r="AG49" s="91">
        <f>+AC49+AE49-AD49</f>
        <v>0</v>
      </c>
      <c r="AH49" s="68"/>
      <c r="AI49" s="68"/>
      <c r="AJ49" s="91"/>
      <c r="AK49" s="91">
        <f t="shared" si="9"/>
        <v>0</v>
      </c>
      <c r="AL49" s="68"/>
      <c r="AM49" s="68"/>
      <c r="AN49" s="91"/>
      <c r="AO49" s="91">
        <f t="shared" ref="AO49:AO60" si="43">+AK49+AM49-AL49</f>
        <v>0</v>
      </c>
      <c r="AP49" s="68"/>
      <c r="AQ49" s="68"/>
      <c r="AR49" s="91">
        <f t="shared" si="40"/>
        <v>0</v>
      </c>
      <c r="AS49" s="91">
        <f t="shared" si="41"/>
        <v>0</v>
      </c>
      <c r="AT49" s="68"/>
      <c r="AU49" s="68"/>
      <c r="AV49" s="68"/>
      <c r="AW49" s="68">
        <f>+AS49+AU49-AT49</f>
        <v>0</v>
      </c>
      <c r="AX49" s="68"/>
      <c r="AY49" s="68"/>
      <c r="AZ49" s="68"/>
      <c r="BA49" s="68"/>
      <c r="BB49" s="68"/>
      <c r="BC49" s="68"/>
      <c r="BD49" s="68"/>
      <c r="BE49" s="68">
        <f t="shared" si="30"/>
        <v>0</v>
      </c>
      <c r="BF49" s="31"/>
      <c r="BG49" s="32"/>
      <c r="BH49" s="27"/>
      <c r="BI49" s="32"/>
      <c r="BJ49" s="32"/>
      <c r="BK49" s="32">
        <f>BE49+BI49-BG49</f>
        <v>0</v>
      </c>
      <c r="BL49" s="32"/>
      <c r="BM49" s="32"/>
      <c r="BN49" s="32"/>
      <c r="BO49" s="32"/>
      <c r="BP49" s="32"/>
      <c r="BQ49" s="32">
        <f>BK49</f>
        <v>0</v>
      </c>
    </row>
    <row r="50" spans="1:69" x14ac:dyDescent="0.5">
      <c r="A50" s="61">
        <v>44</v>
      </c>
      <c r="B50" s="81" t="s">
        <v>4</v>
      </c>
      <c r="C50" s="67">
        <v>201</v>
      </c>
      <c r="D50" s="68">
        <f>+'กระดาษทำการ 30 เม.ย.58'!BP53</f>
        <v>0</v>
      </c>
      <c r="E50" s="68">
        <f>+'กระดาษทำการ 30 เม.ย.58'!BQ53</f>
        <v>58285</v>
      </c>
      <c r="F50" s="68"/>
      <c r="G50" s="68"/>
      <c r="H50" s="91"/>
      <c r="I50" s="91">
        <f t="shared" si="31"/>
        <v>58285</v>
      </c>
      <c r="J50" s="68"/>
      <c r="K50" s="68"/>
      <c r="L50" s="91"/>
      <c r="M50" s="91">
        <f t="shared" si="32"/>
        <v>58285</v>
      </c>
      <c r="N50" s="68"/>
      <c r="O50" s="68"/>
      <c r="P50" s="91"/>
      <c r="Q50" s="91">
        <f t="shared" si="25"/>
        <v>58285</v>
      </c>
      <c r="R50" s="68"/>
      <c r="S50" s="68"/>
      <c r="T50" s="91"/>
      <c r="U50" s="91">
        <f t="shared" si="42"/>
        <v>58285</v>
      </c>
      <c r="V50" s="68"/>
      <c r="W50" s="68"/>
      <c r="X50" s="91"/>
      <c r="Y50" s="91">
        <f t="shared" si="20"/>
        <v>58285</v>
      </c>
      <c r="Z50" s="68"/>
      <c r="AA50" s="68"/>
      <c r="AB50" s="91"/>
      <c r="AC50" s="91">
        <f t="shared" si="27"/>
        <v>58285</v>
      </c>
      <c r="AD50" s="68"/>
      <c r="AE50" s="68"/>
      <c r="AF50" s="91"/>
      <c r="AG50" s="91">
        <f t="shared" si="28"/>
        <v>58285</v>
      </c>
      <c r="AH50" s="68"/>
      <c r="AI50" s="68"/>
      <c r="AJ50" s="91"/>
      <c r="AK50" s="91">
        <f t="shared" si="9"/>
        <v>58285</v>
      </c>
      <c r="AL50" s="68"/>
      <c r="AM50" s="68"/>
      <c r="AN50" s="91"/>
      <c r="AO50" s="91">
        <f t="shared" si="43"/>
        <v>58285</v>
      </c>
      <c r="AP50" s="68"/>
      <c r="AQ50" s="68"/>
      <c r="AR50" s="90">
        <f t="shared" si="40"/>
        <v>0</v>
      </c>
      <c r="AS50" s="91">
        <f t="shared" si="41"/>
        <v>58285</v>
      </c>
      <c r="AT50" s="68"/>
      <c r="AU50" s="68"/>
      <c r="AV50" s="68"/>
      <c r="AW50" s="68">
        <f t="shared" si="35"/>
        <v>58285</v>
      </c>
      <c r="AX50" s="68"/>
      <c r="AY50" s="68"/>
      <c r="AZ50" s="68"/>
      <c r="BA50" s="68"/>
      <c r="BB50" s="68"/>
      <c r="BC50" s="68"/>
      <c r="BD50" s="68"/>
      <c r="BE50" s="68">
        <f t="shared" si="30"/>
        <v>58285</v>
      </c>
      <c r="BF50" s="31"/>
      <c r="BG50" s="32"/>
      <c r="BH50" s="27"/>
      <c r="BI50" s="32"/>
      <c r="BJ50" s="32"/>
      <c r="BK50" s="32">
        <f>BE50+BI50-BG50</f>
        <v>58285</v>
      </c>
      <c r="BL50" s="32"/>
      <c r="BM50" s="32"/>
      <c r="BN50" s="32"/>
      <c r="BO50" s="32"/>
      <c r="BP50" s="32"/>
      <c r="BQ50" s="32">
        <f>BK50</f>
        <v>58285</v>
      </c>
    </row>
    <row r="51" spans="1:69" x14ac:dyDescent="0.5">
      <c r="A51" s="61">
        <v>45</v>
      </c>
      <c r="B51" s="81" t="s">
        <v>3</v>
      </c>
      <c r="C51" s="67">
        <v>205</v>
      </c>
      <c r="D51" s="68">
        <f>+'กระดาษทำการ 30 เม.ย.58'!BP54</f>
        <v>0</v>
      </c>
      <c r="E51" s="68">
        <f>+'กระดาษทำการ 30 เม.ย.58'!BQ54</f>
        <v>48650</v>
      </c>
      <c r="F51" s="68"/>
      <c r="G51" s="68"/>
      <c r="H51" s="90"/>
      <c r="I51" s="91">
        <f t="shared" si="31"/>
        <v>48650</v>
      </c>
      <c r="J51" s="68"/>
      <c r="K51" s="68"/>
      <c r="L51" s="91"/>
      <c r="M51" s="91">
        <f t="shared" si="32"/>
        <v>48650</v>
      </c>
      <c r="N51" s="68"/>
      <c r="O51" s="68"/>
      <c r="P51" s="91"/>
      <c r="Q51" s="91">
        <f t="shared" si="25"/>
        <v>48650</v>
      </c>
      <c r="R51" s="68"/>
      <c r="S51" s="68"/>
      <c r="T51" s="91"/>
      <c r="U51" s="91">
        <f t="shared" si="42"/>
        <v>48650</v>
      </c>
      <c r="V51" s="68"/>
      <c r="W51" s="68"/>
      <c r="X51" s="91"/>
      <c r="Y51" s="91">
        <f t="shared" si="20"/>
        <v>48650</v>
      </c>
      <c r="Z51" s="68"/>
      <c r="AA51" s="68"/>
      <c r="AB51" s="91"/>
      <c r="AC51" s="91">
        <f t="shared" si="27"/>
        <v>48650</v>
      </c>
      <c r="AD51" s="68"/>
      <c r="AE51" s="68"/>
      <c r="AF51" s="91"/>
      <c r="AG51" s="91">
        <f t="shared" si="28"/>
        <v>48650</v>
      </c>
      <c r="AH51" s="68"/>
      <c r="AI51" s="68"/>
      <c r="AJ51" s="91"/>
      <c r="AK51" s="91">
        <f t="shared" si="9"/>
        <v>48650</v>
      </c>
      <c r="AL51" s="68"/>
      <c r="AM51" s="68"/>
      <c r="AN51" s="91"/>
      <c r="AO51" s="91">
        <f t="shared" si="43"/>
        <v>48650</v>
      </c>
      <c r="AP51" s="68"/>
      <c r="AQ51" s="68"/>
      <c r="AR51" s="90">
        <f t="shared" ref="AR51:AR54" si="44">+AN51+AP51-AQ51</f>
        <v>0</v>
      </c>
      <c r="AS51" s="91">
        <f t="shared" ref="AS51:AS54" si="45">+AO51+AQ51-AP51</f>
        <v>48650</v>
      </c>
      <c r="AT51" s="68"/>
      <c r="AU51" s="68"/>
      <c r="AV51" s="68"/>
      <c r="AW51" s="68">
        <f t="shared" si="35"/>
        <v>48650</v>
      </c>
      <c r="AX51" s="68"/>
      <c r="AY51" s="69"/>
      <c r="AZ51" s="68"/>
      <c r="BA51" s="68"/>
      <c r="BB51" s="68"/>
      <c r="BC51" s="68"/>
      <c r="BD51" s="68"/>
      <c r="BE51" s="68">
        <f t="shared" si="30"/>
        <v>48650</v>
      </c>
      <c r="BF51" s="31"/>
      <c r="BG51" s="32"/>
      <c r="BH51" s="27"/>
      <c r="BI51" s="32"/>
      <c r="BJ51" s="32"/>
      <c r="BK51" s="32">
        <f>BE51+BI51-BG51</f>
        <v>48650</v>
      </c>
      <c r="BL51" s="32"/>
      <c r="BM51" s="32"/>
      <c r="BN51" s="32"/>
      <c r="BO51" s="32"/>
      <c r="BP51" s="32"/>
      <c r="BQ51" s="32">
        <f>BK51</f>
        <v>48650</v>
      </c>
    </row>
    <row r="52" spans="1:69" x14ac:dyDescent="0.5">
      <c r="A52" s="61">
        <v>46</v>
      </c>
      <c r="B52" s="81" t="s">
        <v>66</v>
      </c>
      <c r="C52" s="67">
        <v>209</v>
      </c>
      <c r="D52" s="68">
        <f>+'กระดาษทำการ 30 เม.ย.58'!BP55</f>
        <v>0</v>
      </c>
      <c r="E52" s="68">
        <f>+'กระดาษทำการ 30 เม.ย.58'!BQ55</f>
        <v>9272</v>
      </c>
      <c r="F52" s="68"/>
      <c r="G52" s="68"/>
      <c r="H52" s="90"/>
      <c r="I52" s="91">
        <f t="shared" si="31"/>
        <v>9272</v>
      </c>
      <c r="J52" s="68"/>
      <c r="K52" s="68"/>
      <c r="L52" s="91"/>
      <c r="M52" s="91">
        <f t="shared" si="32"/>
        <v>9272</v>
      </c>
      <c r="N52" s="68"/>
      <c r="O52" s="68"/>
      <c r="P52" s="91"/>
      <c r="Q52" s="91">
        <f t="shared" si="25"/>
        <v>9272</v>
      </c>
      <c r="R52" s="68"/>
      <c r="S52" s="68"/>
      <c r="T52" s="91"/>
      <c r="U52" s="91">
        <f t="shared" si="42"/>
        <v>9272</v>
      </c>
      <c r="V52" s="68"/>
      <c r="W52" s="68"/>
      <c r="X52" s="91"/>
      <c r="Y52" s="91">
        <f t="shared" si="20"/>
        <v>9272</v>
      </c>
      <c r="Z52" s="68"/>
      <c r="AA52" s="68"/>
      <c r="AB52" s="91"/>
      <c r="AC52" s="91">
        <f t="shared" si="27"/>
        <v>9272</v>
      </c>
      <c r="AD52" s="68"/>
      <c r="AE52" s="68"/>
      <c r="AF52" s="91"/>
      <c r="AG52" s="91">
        <f t="shared" si="28"/>
        <v>9272</v>
      </c>
      <c r="AH52" s="68"/>
      <c r="AI52" s="68"/>
      <c r="AJ52" s="91"/>
      <c r="AK52" s="91">
        <f t="shared" si="9"/>
        <v>9272</v>
      </c>
      <c r="AL52" s="68"/>
      <c r="AM52" s="68"/>
      <c r="AN52" s="91"/>
      <c r="AO52" s="91">
        <f>+AK52+AM52-AL52</f>
        <v>9272</v>
      </c>
      <c r="AP52" s="68"/>
      <c r="AQ52" s="68"/>
      <c r="AR52" s="90">
        <f t="shared" si="44"/>
        <v>0</v>
      </c>
      <c r="AS52" s="91">
        <f t="shared" si="45"/>
        <v>9272</v>
      </c>
      <c r="AT52" s="68"/>
      <c r="AU52" s="68"/>
      <c r="AV52" s="68"/>
      <c r="AW52" s="68">
        <f t="shared" si="35"/>
        <v>9272</v>
      </c>
      <c r="AX52" s="68"/>
      <c r="AY52" s="69"/>
      <c r="AZ52" s="68"/>
      <c r="BA52" s="68"/>
      <c r="BB52" s="68"/>
      <c r="BC52" s="68"/>
      <c r="BD52" s="68"/>
      <c r="BE52" s="68">
        <f t="shared" si="30"/>
        <v>9272</v>
      </c>
      <c r="BF52" s="31"/>
      <c r="BG52" s="32"/>
      <c r="BH52" s="27"/>
      <c r="BI52" s="32"/>
      <c r="BJ52" s="32"/>
      <c r="BK52" s="32">
        <f>BE52+BI52-BG52</f>
        <v>9272</v>
      </c>
      <c r="BL52" s="32"/>
      <c r="BM52" s="32"/>
      <c r="BN52" s="32"/>
      <c r="BO52" s="32"/>
      <c r="BP52" s="32"/>
      <c r="BQ52" s="32">
        <f>BK52</f>
        <v>9272</v>
      </c>
    </row>
    <row r="53" spans="1:69" ht="24" x14ac:dyDescent="0.55000000000000004">
      <c r="A53" s="61">
        <v>47</v>
      </c>
      <c r="B53" s="81" t="s">
        <v>13</v>
      </c>
      <c r="C53" s="67">
        <v>223</v>
      </c>
      <c r="D53" s="68">
        <f>+'กระดาษทำการ 30 เม.ย.58'!BP57</f>
        <v>0</v>
      </c>
      <c r="E53" s="68">
        <f>+'กระดาษทำการ 30 เม.ย.58'!BQ57</f>
        <v>0</v>
      </c>
      <c r="F53" s="68"/>
      <c r="G53" s="68"/>
      <c r="H53" s="90">
        <f t="shared" si="0"/>
        <v>0</v>
      </c>
      <c r="I53" s="91"/>
      <c r="J53" s="76"/>
      <c r="K53" s="76">
        <v>126.58</v>
      </c>
      <c r="L53" s="91"/>
      <c r="M53" s="91">
        <f t="shared" si="32"/>
        <v>126.58</v>
      </c>
      <c r="N53" s="76"/>
      <c r="O53" s="76">
        <v>9335.94</v>
      </c>
      <c r="P53" s="91"/>
      <c r="Q53" s="91">
        <f t="shared" si="25"/>
        <v>9462.52</v>
      </c>
      <c r="R53" s="68"/>
      <c r="S53" s="68"/>
      <c r="T53" s="91"/>
      <c r="U53" s="91">
        <f t="shared" si="42"/>
        <v>9462.52</v>
      </c>
      <c r="V53" s="68"/>
      <c r="W53" s="68"/>
      <c r="X53" s="91"/>
      <c r="Y53" s="91">
        <f t="shared" si="20"/>
        <v>9462.52</v>
      </c>
      <c r="Z53" s="60"/>
      <c r="AA53" s="60">
        <v>3089.61</v>
      </c>
      <c r="AB53" s="91"/>
      <c r="AC53" s="91">
        <f t="shared" si="27"/>
        <v>12552.130000000001</v>
      </c>
      <c r="AD53" s="68"/>
      <c r="AE53" s="68">
        <f>349.04+349.04+1199.23</f>
        <v>1897.31</v>
      </c>
      <c r="AF53" s="91"/>
      <c r="AG53" s="91">
        <f t="shared" si="28"/>
        <v>14449.44</v>
      </c>
      <c r="AH53" s="68"/>
      <c r="AI53" s="68"/>
      <c r="AJ53" s="91"/>
      <c r="AK53" s="91">
        <f t="shared" si="9"/>
        <v>14449.44</v>
      </c>
      <c r="AL53" s="68"/>
      <c r="AM53" s="68">
        <f>1788.17+4079.96+4423.79+11146.8+357.46</f>
        <v>21796.18</v>
      </c>
      <c r="AN53" s="91"/>
      <c r="AO53" s="91">
        <f>+AK53+AM53-AL53</f>
        <v>36245.620000000003</v>
      </c>
      <c r="AP53" s="68"/>
      <c r="AQ53" s="68">
        <v>27207.16</v>
      </c>
      <c r="AR53" s="90">
        <v>0</v>
      </c>
      <c r="AS53" s="91">
        <f t="shared" si="45"/>
        <v>63452.78</v>
      </c>
      <c r="AT53" s="60"/>
      <c r="AU53" s="60">
        <f>16920.76+25012.89</f>
        <v>41933.649999999994</v>
      </c>
      <c r="AV53" s="68"/>
      <c r="AW53" s="68">
        <f t="shared" si="35"/>
        <v>105386.43</v>
      </c>
      <c r="AX53" s="68"/>
      <c r="AY53" s="68"/>
      <c r="AZ53" s="68"/>
      <c r="BA53" s="68"/>
      <c r="BB53" s="68"/>
      <c r="BC53" s="68"/>
      <c r="BD53" s="68"/>
      <c r="BE53" s="68">
        <f t="shared" si="30"/>
        <v>0</v>
      </c>
      <c r="BF53" s="31"/>
      <c r="BG53" s="32"/>
      <c r="BH53" s="27">
        <v>18</v>
      </c>
      <c r="BI53" s="32">
        <v>185752.74</v>
      </c>
      <c r="BJ53" s="32"/>
      <c r="BK53" s="32">
        <f t="shared" ref="BK53:BK77" si="46">BE53+BI53-BG53</f>
        <v>185752.74</v>
      </c>
      <c r="BL53" s="32"/>
      <c r="BM53" s="32"/>
      <c r="BN53" s="32"/>
      <c r="BO53" s="32">
        <f>BK53</f>
        <v>185752.74</v>
      </c>
      <c r="BP53" s="32"/>
      <c r="BQ53" s="32"/>
    </row>
    <row r="54" spans="1:69" x14ac:dyDescent="0.5">
      <c r="A54" s="61">
        <v>48</v>
      </c>
      <c r="B54" s="81" t="s">
        <v>67</v>
      </c>
      <c r="C54" s="67">
        <v>243</v>
      </c>
      <c r="D54" s="68">
        <f>+'กระดาษทำการ 30 เม.ย.58'!BP58</f>
        <v>0</v>
      </c>
      <c r="E54" s="68">
        <f>+'กระดาษทำการ 30 เม.ย.58'!BQ58</f>
        <v>0</v>
      </c>
      <c r="F54" s="68"/>
      <c r="G54" s="68"/>
      <c r="H54" s="90">
        <f t="shared" si="0"/>
        <v>0</v>
      </c>
      <c r="I54" s="91"/>
      <c r="J54" s="76"/>
      <c r="K54" s="76">
        <v>54.25</v>
      </c>
      <c r="L54" s="91"/>
      <c r="M54" s="91">
        <f t="shared" si="32"/>
        <v>54.25</v>
      </c>
      <c r="N54" s="68"/>
      <c r="O54" s="68"/>
      <c r="P54" s="91"/>
      <c r="Q54" s="91">
        <f t="shared" si="25"/>
        <v>54.25</v>
      </c>
      <c r="R54" s="68"/>
      <c r="S54" s="68"/>
      <c r="T54" s="91"/>
      <c r="U54" s="91">
        <f t="shared" si="42"/>
        <v>54.25</v>
      </c>
      <c r="V54" s="68"/>
      <c r="W54" s="68"/>
      <c r="X54" s="91"/>
      <c r="Y54" s="91">
        <f t="shared" si="20"/>
        <v>54.25</v>
      </c>
      <c r="Z54" s="68"/>
      <c r="AA54" s="68"/>
      <c r="AB54" s="91"/>
      <c r="AC54" s="91">
        <f>+Y54+AA54-Z54</f>
        <v>54.25</v>
      </c>
      <c r="AD54" s="68"/>
      <c r="AE54" s="68">
        <f>3.28+4.1</f>
        <v>7.379999999999999</v>
      </c>
      <c r="AF54" s="91"/>
      <c r="AG54" s="91">
        <f t="shared" si="28"/>
        <v>61.629999999999995</v>
      </c>
      <c r="AH54" s="68"/>
      <c r="AI54" s="68"/>
      <c r="AJ54" s="91"/>
      <c r="AK54" s="91">
        <f t="shared" si="9"/>
        <v>61.629999999999995</v>
      </c>
      <c r="AL54" s="68"/>
      <c r="AM54" s="68"/>
      <c r="AN54" s="91"/>
      <c r="AO54" s="91">
        <f t="shared" si="43"/>
        <v>61.629999999999995</v>
      </c>
      <c r="AP54" s="68"/>
      <c r="AQ54" s="68"/>
      <c r="AR54" s="90">
        <f t="shared" si="44"/>
        <v>0</v>
      </c>
      <c r="AS54" s="91">
        <f t="shared" si="45"/>
        <v>61.629999999999995</v>
      </c>
      <c r="AT54" s="68"/>
      <c r="AU54" s="68"/>
      <c r="AV54" s="68"/>
      <c r="AW54" s="68">
        <f t="shared" si="35"/>
        <v>61.629999999999995</v>
      </c>
      <c r="AX54" s="68"/>
      <c r="AY54" s="68"/>
      <c r="AZ54" s="68"/>
      <c r="BA54" s="68"/>
      <c r="BB54" s="68"/>
      <c r="BC54" s="68"/>
      <c r="BD54" s="68"/>
      <c r="BE54" s="68">
        <f t="shared" si="30"/>
        <v>0</v>
      </c>
      <c r="BF54" s="31"/>
      <c r="BG54" s="32"/>
      <c r="BH54" s="27">
        <v>19</v>
      </c>
      <c r="BI54" s="32">
        <f>50290.89+5962.31</f>
        <v>56253.2</v>
      </c>
      <c r="BJ54" s="32"/>
      <c r="BK54" s="32">
        <f t="shared" si="46"/>
        <v>56253.2</v>
      </c>
      <c r="BL54" s="32"/>
      <c r="BM54" s="32"/>
      <c r="BN54" s="32"/>
      <c r="BO54" s="32">
        <f t="shared" ref="BO54:BO61" si="47">BK54</f>
        <v>56253.2</v>
      </c>
      <c r="BP54" s="32"/>
      <c r="BQ54" s="32"/>
    </row>
    <row r="55" spans="1:69" x14ac:dyDescent="0.5">
      <c r="A55" s="61">
        <v>49</v>
      </c>
      <c r="B55" s="81" t="s">
        <v>12</v>
      </c>
      <c r="C55" s="67">
        <v>252</v>
      </c>
      <c r="D55" s="68">
        <f>+'กระดาษทำการ 30 เม.ย.58'!BP59</f>
        <v>0</v>
      </c>
      <c r="E55" s="68">
        <f>+'กระดาษทำการ 30 เม.ย.58'!BQ59</f>
        <v>0</v>
      </c>
      <c r="F55" s="68"/>
      <c r="G55" s="68">
        <f>3500+4415</f>
        <v>7915</v>
      </c>
      <c r="H55" s="90"/>
      <c r="I55" s="91">
        <f>+G55</f>
        <v>7915</v>
      </c>
      <c r="J55" s="68"/>
      <c r="K55" s="68">
        <v>32165</v>
      </c>
      <c r="L55" s="91"/>
      <c r="M55" s="91">
        <f t="shared" si="32"/>
        <v>40080</v>
      </c>
      <c r="N55" s="68"/>
      <c r="O55" s="68">
        <v>8840</v>
      </c>
      <c r="P55" s="91"/>
      <c r="Q55" s="91">
        <f t="shared" si="25"/>
        <v>48920</v>
      </c>
      <c r="R55" s="68"/>
      <c r="S55" s="68">
        <v>13955</v>
      </c>
      <c r="T55" s="91"/>
      <c r="U55" s="91">
        <f t="shared" si="42"/>
        <v>62875</v>
      </c>
      <c r="V55" s="68"/>
      <c r="W55" s="68"/>
      <c r="X55" s="91"/>
      <c r="Y55" s="91">
        <f t="shared" si="20"/>
        <v>62875</v>
      </c>
      <c r="Z55" s="68"/>
      <c r="AA55" s="68">
        <v>17205</v>
      </c>
      <c r="AB55" s="91"/>
      <c r="AC55" s="91">
        <f t="shared" si="27"/>
        <v>80080</v>
      </c>
      <c r="AD55" s="68"/>
      <c r="AE55" s="68">
        <f>26865+5200+15970</f>
        <v>48035</v>
      </c>
      <c r="AF55" s="91"/>
      <c r="AG55" s="91">
        <f>+AC55+AE55-AD55</f>
        <v>128115</v>
      </c>
      <c r="AH55" s="68"/>
      <c r="AI55" s="68">
        <v>30150</v>
      </c>
      <c r="AJ55" s="91"/>
      <c r="AK55" s="91">
        <f t="shared" si="9"/>
        <v>158265</v>
      </c>
      <c r="AL55" s="68"/>
      <c r="AM55" s="68">
        <f>8250+10000</f>
        <v>18250</v>
      </c>
      <c r="AN55" s="91"/>
      <c r="AO55" s="91">
        <f t="shared" si="43"/>
        <v>176515</v>
      </c>
      <c r="AP55" s="68"/>
      <c r="AQ55" s="68"/>
      <c r="AR55" s="90">
        <f t="shared" ref="AR55:AR57" si="48">+AN55+AP55-AQ55</f>
        <v>0</v>
      </c>
      <c r="AS55" s="91">
        <f t="shared" ref="AS55:AS57" si="49">+AO55+AQ55-AP55</f>
        <v>176515</v>
      </c>
      <c r="AT55" s="68"/>
      <c r="AU55" s="68"/>
      <c r="AV55" s="68"/>
      <c r="AW55" s="68">
        <f t="shared" si="35"/>
        <v>176515</v>
      </c>
      <c r="AX55" s="68"/>
      <c r="AY55" s="68"/>
      <c r="AZ55" s="68"/>
      <c r="BA55" s="68"/>
      <c r="BB55" s="68"/>
      <c r="BC55" s="68"/>
      <c r="BD55" s="68"/>
      <c r="BE55" s="68">
        <f t="shared" si="30"/>
        <v>0</v>
      </c>
      <c r="BF55" s="31"/>
      <c r="BG55" s="32"/>
      <c r="BH55" s="27"/>
      <c r="BI55" s="32"/>
      <c r="BJ55" s="32"/>
      <c r="BK55" s="32">
        <f t="shared" si="46"/>
        <v>0</v>
      </c>
      <c r="BL55" s="32"/>
      <c r="BM55" s="32"/>
      <c r="BN55" s="32"/>
      <c r="BO55" s="32">
        <f t="shared" si="47"/>
        <v>0</v>
      </c>
      <c r="BP55" s="32"/>
      <c r="BQ55" s="32"/>
    </row>
    <row r="56" spans="1:69" x14ac:dyDescent="0.5">
      <c r="A56" s="61">
        <v>50</v>
      </c>
      <c r="B56" s="81" t="s">
        <v>152</v>
      </c>
      <c r="C56" s="67"/>
      <c r="D56" s="68"/>
      <c r="E56" s="68"/>
      <c r="F56" s="68"/>
      <c r="G56" s="68">
        <v>580</v>
      </c>
      <c r="H56" s="90"/>
      <c r="I56" s="91">
        <f>+G56</f>
        <v>580</v>
      </c>
      <c r="J56" s="68"/>
      <c r="K56" s="68">
        <f>21700+2030</f>
        <v>23730</v>
      </c>
      <c r="L56" s="91"/>
      <c r="M56" s="91">
        <f>+I56+K56-J56</f>
        <v>24310</v>
      </c>
      <c r="N56" s="76"/>
      <c r="O56" s="76">
        <f>900+41940+420+8670+2700</f>
        <v>54630</v>
      </c>
      <c r="P56" s="91"/>
      <c r="Q56" s="91">
        <f t="shared" si="25"/>
        <v>78940</v>
      </c>
      <c r="R56" s="68"/>
      <c r="S56" s="68">
        <v>290</v>
      </c>
      <c r="T56" s="91"/>
      <c r="U56" s="91">
        <f t="shared" si="42"/>
        <v>79230</v>
      </c>
      <c r="V56" s="68"/>
      <c r="W56" s="68"/>
      <c r="X56" s="91"/>
      <c r="Y56" s="91">
        <f t="shared" si="20"/>
        <v>79230</v>
      </c>
      <c r="Z56" s="68"/>
      <c r="AA56" s="68">
        <v>3130</v>
      </c>
      <c r="AB56" s="91"/>
      <c r="AC56" s="91">
        <f t="shared" si="27"/>
        <v>82360</v>
      </c>
      <c r="AD56" s="68"/>
      <c r="AE56" s="68">
        <v>290</v>
      </c>
      <c r="AF56" s="91"/>
      <c r="AG56" s="91">
        <f t="shared" si="28"/>
        <v>82650</v>
      </c>
      <c r="AH56" s="68"/>
      <c r="AI56" s="68">
        <v>290</v>
      </c>
      <c r="AJ56" s="91"/>
      <c r="AK56" s="91">
        <f t="shared" si="9"/>
        <v>82940</v>
      </c>
      <c r="AL56" s="68"/>
      <c r="AM56" s="68"/>
      <c r="AN56" s="91"/>
      <c r="AO56" s="91">
        <f t="shared" si="43"/>
        <v>82940</v>
      </c>
      <c r="AP56" s="68"/>
      <c r="AQ56" s="68">
        <v>1160</v>
      </c>
      <c r="AR56" s="90">
        <v>0</v>
      </c>
      <c r="AS56" s="91">
        <f t="shared" si="49"/>
        <v>84100</v>
      </c>
      <c r="AT56" s="68"/>
      <c r="AU56" s="68"/>
      <c r="AV56" s="68"/>
      <c r="AW56" s="68">
        <f t="shared" si="35"/>
        <v>84100</v>
      </c>
      <c r="AX56" s="68"/>
      <c r="AY56" s="68"/>
      <c r="AZ56" s="68"/>
      <c r="BA56" s="68"/>
      <c r="BB56" s="68"/>
      <c r="BC56" s="68"/>
      <c r="BD56" s="68"/>
      <c r="BE56" s="68"/>
      <c r="BF56" s="31"/>
      <c r="BG56" s="32"/>
      <c r="BH56" s="27"/>
      <c r="BI56" s="32"/>
      <c r="BJ56" s="32"/>
      <c r="BK56" s="32"/>
      <c r="BL56" s="32"/>
      <c r="BM56" s="32"/>
      <c r="BN56" s="32"/>
      <c r="BO56" s="32"/>
      <c r="BP56" s="32"/>
      <c r="BQ56" s="32"/>
    </row>
    <row r="57" spans="1:69" ht="24" x14ac:dyDescent="0.55000000000000004">
      <c r="A57" s="61">
        <v>51</v>
      </c>
      <c r="B57" s="81" t="s">
        <v>68</v>
      </c>
      <c r="C57" s="67">
        <v>271</v>
      </c>
      <c r="D57" s="68">
        <f>+'กระดาษทำการ 30 เม.ย.58'!BP60</f>
        <v>0</v>
      </c>
      <c r="E57" s="68">
        <f>+'กระดาษทำการ 30 เม.ย.58'!BQ60</f>
        <v>0</v>
      </c>
      <c r="F57" s="68"/>
      <c r="G57" s="68"/>
      <c r="H57" s="90">
        <f t="shared" si="0"/>
        <v>0</v>
      </c>
      <c r="I57" s="91"/>
      <c r="J57" s="68"/>
      <c r="K57" s="68"/>
      <c r="L57" s="91"/>
      <c r="M57" s="91">
        <f t="shared" si="32"/>
        <v>0</v>
      </c>
      <c r="N57" s="68"/>
      <c r="O57" s="68"/>
      <c r="P57" s="91"/>
      <c r="Q57" s="91">
        <f t="shared" si="25"/>
        <v>0</v>
      </c>
      <c r="R57" s="68"/>
      <c r="S57" s="68"/>
      <c r="T57" s="91"/>
      <c r="U57" s="91">
        <f t="shared" si="42"/>
        <v>0</v>
      </c>
      <c r="V57" s="68"/>
      <c r="W57" s="68"/>
      <c r="X57" s="91"/>
      <c r="Y57" s="91">
        <f t="shared" si="20"/>
        <v>0</v>
      </c>
      <c r="Z57" s="60"/>
      <c r="AA57" s="60">
        <f>60+200</f>
        <v>260</v>
      </c>
      <c r="AB57" s="91"/>
      <c r="AC57" s="91">
        <f>+Y57+AA57-Z57</f>
        <v>260</v>
      </c>
      <c r="AD57" s="68"/>
      <c r="AE57" s="68">
        <v>20</v>
      </c>
      <c r="AF57" s="91"/>
      <c r="AG57" s="91">
        <f t="shared" si="28"/>
        <v>280</v>
      </c>
      <c r="AH57" s="68"/>
      <c r="AI57" s="68">
        <v>400</v>
      </c>
      <c r="AJ57" s="91"/>
      <c r="AK57" s="91">
        <f t="shared" si="9"/>
        <v>680</v>
      </c>
      <c r="AL57" s="68"/>
      <c r="AM57" s="68">
        <v>40</v>
      </c>
      <c r="AN57" s="91"/>
      <c r="AO57" s="91">
        <f t="shared" si="43"/>
        <v>720</v>
      </c>
      <c r="AP57" s="68"/>
      <c r="AQ57" s="68"/>
      <c r="AR57" s="90">
        <f t="shared" si="48"/>
        <v>0</v>
      </c>
      <c r="AS57" s="91">
        <f t="shared" si="49"/>
        <v>720</v>
      </c>
      <c r="AT57" s="68"/>
      <c r="AU57" s="68"/>
      <c r="AV57" s="68"/>
      <c r="AW57" s="68">
        <f t="shared" si="35"/>
        <v>720</v>
      </c>
      <c r="AX57" s="68"/>
      <c r="AY57" s="68"/>
      <c r="AZ57" s="68"/>
      <c r="BA57" s="68"/>
      <c r="BB57" s="68"/>
      <c r="BC57" s="68"/>
      <c r="BD57" s="68"/>
      <c r="BE57" s="68">
        <f t="shared" si="30"/>
        <v>0</v>
      </c>
      <c r="BF57" s="31"/>
      <c r="BG57" s="32"/>
      <c r="BH57" s="48" t="s">
        <v>137</v>
      </c>
      <c r="BI57" s="32">
        <f>29+232+210.98</f>
        <v>471.98</v>
      </c>
      <c r="BJ57" s="32"/>
      <c r="BK57" s="32">
        <f t="shared" si="46"/>
        <v>471.98</v>
      </c>
      <c r="BL57" s="32"/>
      <c r="BM57" s="32"/>
      <c r="BN57" s="32"/>
      <c r="BO57" s="32">
        <f t="shared" si="47"/>
        <v>471.98</v>
      </c>
      <c r="BP57" s="32"/>
      <c r="BQ57" s="32"/>
    </row>
    <row r="58" spans="1:69" x14ac:dyDescent="0.5">
      <c r="A58" s="61">
        <v>52</v>
      </c>
      <c r="B58" s="82" t="s">
        <v>69</v>
      </c>
      <c r="C58" s="67">
        <v>275</v>
      </c>
      <c r="D58" s="68">
        <f>+'กระดาษทำการ 30 เม.ย.58'!BP61</f>
        <v>0</v>
      </c>
      <c r="E58" s="68">
        <f>+'กระดาษทำการ 30 เม.ย.58'!BQ61</f>
        <v>0</v>
      </c>
      <c r="F58" s="68"/>
      <c r="G58" s="68"/>
      <c r="H58" s="90">
        <f t="shared" si="0"/>
        <v>0</v>
      </c>
      <c r="I58" s="91"/>
      <c r="J58" s="68"/>
      <c r="K58" s="68"/>
      <c r="L58" s="91"/>
      <c r="M58" s="91">
        <f t="shared" si="32"/>
        <v>0</v>
      </c>
      <c r="N58" s="68"/>
      <c r="O58" s="68"/>
      <c r="P58" s="91"/>
      <c r="Q58" s="91">
        <f t="shared" si="25"/>
        <v>0</v>
      </c>
      <c r="R58" s="68"/>
      <c r="S58" s="68"/>
      <c r="T58" s="91"/>
      <c r="U58" s="91">
        <f t="shared" si="42"/>
        <v>0</v>
      </c>
      <c r="V58" s="68"/>
      <c r="W58" s="68"/>
      <c r="X58" s="91"/>
      <c r="Y58" s="91">
        <f t="shared" si="20"/>
        <v>0</v>
      </c>
      <c r="Z58" s="68"/>
      <c r="AA58" s="68"/>
      <c r="AB58" s="91"/>
      <c r="AC58" s="91">
        <f t="shared" si="27"/>
        <v>0</v>
      </c>
      <c r="AD58" s="68"/>
      <c r="AE58" s="68"/>
      <c r="AF58" s="91"/>
      <c r="AG58" s="91">
        <f t="shared" si="28"/>
        <v>0</v>
      </c>
      <c r="AH58" s="68"/>
      <c r="AI58" s="68"/>
      <c r="AJ58" s="91"/>
      <c r="AK58" s="91">
        <f t="shared" si="9"/>
        <v>0</v>
      </c>
      <c r="AL58" s="68"/>
      <c r="AM58" s="68"/>
      <c r="AN58" s="91"/>
      <c r="AO58" s="91">
        <f t="shared" si="43"/>
        <v>0</v>
      </c>
      <c r="AP58" s="68"/>
      <c r="AQ58" s="68"/>
      <c r="AR58" s="90">
        <f t="shared" ref="AR58:AR62" si="50">+AN58+AP58-AQ58</f>
        <v>0</v>
      </c>
      <c r="AS58" s="91">
        <f t="shared" ref="AS58:AS62" si="51">+AO58+AQ58-AP58</f>
        <v>0</v>
      </c>
      <c r="AT58" s="68"/>
      <c r="AU58" s="68"/>
      <c r="AV58" s="68"/>
      <c r="AW58" s="68">
        <f t="shared" si="35"/>
        <v>0</v>
      </c>
      <c r="AX58" s="68"/>
      <c r="AY58" s="68"/>
      <c r="AZ58" s="68"/>
      <c r="BA58" s="68"/>
      <c r="BB58" s="68"/>
      <c r="BC58" s="68"/>
      <c r="BD58" s="68"/>
      <c r="BE58" s="68">
        <f t="shared" si="30"/>
        <v>0</v>
      </c>
      <c r="BF58" s="31">
        <v>12</v>
      </c>
      <c r="BG58" s="32">
        <v>8200</v>
      </c>
      <c r="BH58" s="27"/>
      <c r="BI58" s="32"/>
      <c r="BJ58" s="32"/>
      <c r="BK58" s="32">
        <f t="shared" si="46"/>
        <v>-8200</v>
      </c>
      <c r="BL58" s="32"/>
      <c r="BM58" s="32"/>
      <c r="BN58" s="32"/>
      <c r="BO58" s="32">
        <f t="shared" si="47"/>
        <v>-8200</v>
      </c>
      <c r="BP58" s="32"/>
      <c r="BQ58" s="32"/>
    </row>
    <row r="59" spans="1:69" x14ac:dyDescent="0.5">
      <c r="A59" s="61">
        <v>53</v>
      </c>
      <c r="B59" s="81" t="s">
        <v>70</v>
      </c>
      <c r="C59" s="67">
        <v>277</v>
      </c>
      <c r="D59" s="68">
        <f>+'กระดาษทำการ 30 เม.ย.58'!BP62</f>
        <v>0</v>
      </c>
      <c r="E59" s="68">
        <f>+'กระดาษทำการ 30 เม.ย.58'!BQ62</f>
        <v>0</v>
      </c>
      <c r="F59" s="68"/>
      <c r="G59" s="68"/>
      <c r="H59" s="90">
        <f t="shared" si="0"/>
        <v>0</v>
      </c>
      <c r="I59" s="91"/>
      <c r="J59" s="68"/>
      <c r="K59" s="68"/>
      <c r="L59" s="91"/>
      <c r="M59" s="91">
        <f t="shared" si="32"/>
        <v>0</v>
      </c>
      <c r="N59" s="68"/>
      <c r="O59" s="68"/>
      <c r="P59" s="91"/>
      <c r="Q59" s="91">
        <f>+M59+O59-N59</f>
        <v>0</v>
      </c>
      <c r="R59" s="68"/>
      <c r="S59" s="68"/>
      <c r="T59" s="91"/>
      <c r="U59" s="91">
        <f t="shared" si="42"/>
        <v>0</v>
      </c>
      <c r="V59" s="68"/>
      <c r="W59" s="68"/>
      <c r="X59" s="91"/>
      <c r="Y59" s="91">
        <f t="shared" si="20"/>
        <v>0</v>
      </c>
      <c r="Z59" s="68"/>
      <c r="AA59" s="68"/>
      <c r="AB59" s="91"/>
      <c r="AC59" s="91">
        <f t="shared" si="27"/>
        <v>0</v>
      </c>
      <c r="AD59" s="68"/>
      <c r="AE59" s="68"/>
      <c r="AF59" s="91"/>
      <c r="AG59" s="91">
        <f t="shared" si="28"/>
        <v>0</v>
      </c>
      <c r="AH59" s="68"/>
      <c r="AI59" s="68"/>
      <c r="AJ59" s="91"/>
      <c r="AK59" s="91">
        <f t="shared" si="9"/>
        <v>0</v>
      </c>
      <c r="AL59" s="68"/>
      <c r="AM59" s="68"/>
      <c r="AN59" s="91"/>
      <c r="AO59" s="91">
        <f t="shared" si="43"/>
        <v>0</v>
      </c>
      <c r="AP59" s="68"/>
      <c r="AQ59" s="68"/>
      <c r="AR59" s="90">
        <f t="shared" si="50"/>
        <v>0</v>
      </c>
      <c r="AS59" s="91">
        <f t="shared" si="51"/>
        <v>0</v>
      </c>
      <c r="AT59" s="68"/>
      <c r="AU59" s="68"/>
      <c r="AV59" s="68"/>
      <c r="AW59" s="68">
        <f t="shared" si="35"/>
        <v>0</v>
      </c>
      <c r="AX59" s="68"/>
      <c r="AY59" s="68"/>
      <c r="AZ59" s="68"/>
      <c r="BA59" s="68"/>
      <c r="BB59" s="68"/>
      <c r="BC59" s="68"/>
      <c r="BD59" s="68"/>
      <c r="BE59" s="68">
        <f t="shared" si="30"/>
        <v>0</v>
      </c>
      <c r="BF59" s="31"/>
      <c r="BG59" s="32"/>
      <c r="BH59" s="27">
        <v>2</v>
      </c>
      <c r="BI59" s="32">
        <v>13223.85</v>
      </c>
      <c r="BJ59" s="32"/>
      <c r="BK59" s="32">
        <f t="shared" si="46"/>
        <v>13223.85</v>
      </c>
      <c r="BL59" s="32"/>
      <c r="BM59" s="32"/>
      <c r="BN59" s="32"/>
      <c r="BO59" s="32">
        <f t="shared" si="47"/>
        <v>13223.85</v>
      </c>
      <c r="BP59" s="32"/>
      <c r="BQ59" s="32"/>
    </row>
    <row r="60" spans="1:69" ht="24" x14ac:dyDescent="0.55000000000000004">
      <c r="A60" s="61">
        <v>54</v>
      </c>
      <c r="B60" s="81" t="s">
        <v>71</v>
      </c>
      <c r="C60" s="67">
        <v>279</v>
      </c>
      <c r="D60" s="68">
        <f>+'กระดาษทำการ 30 เม.ย.58'!BP63</f>
        <v>0</v>
      </c>
      <c r="E60" s="68">
        <f>+'กระดาษทำการ 30 เม.ย.58'!BQ63</f>
        <v>0</v>
      </c>
      <c r="F60" s="76"/>
      <c r="G60" s="76">
        <v>667.49</v>
      </c>
      <c r="H60" s="90"/>
      <c r="I60" s="91">
        <f>+G60</f>
        <v>667.49</v>
      </c>
      <c r="J60" s="68"/>
      <c r="K60" s="68"/>
      <c r="L60" s="91"/>
      <c r="M60" s="91">
        <f t="shared" si="32"/>
        <v>667.49</v>
      </c>
      <c r="N60" s="68"/>
      <c r="O60" s="68"/>
      <c r="P60" s="91"/>
      <c r="Q60" s="91">
        <f t="shared" si="25"/>
        <v>667.49</v>
      </c>
      <c r="R60" s="68"/>
      <c r="S60" s="68"/>
      <c r="T60" s="91"/>
      <c r="U60" s="91">
        <f t="shared" si="42"/>
        <v>667.49</v>
      </c>
      <c r="V60" s="60"/>
      <c r="W60" s="60">
        <v>413.88</v>
      </c>
      <c r="X60" s="91"/>
      <c r="Y60" s="91">
        <f t="shared" si="20"/>
        <v>1081.3699999999999</v>
      </c>
      <c r="Z60" s="68"/>
      <c r="AA60" s="68"/>
      <c r="AB60" s="91"/>
      <c r="AC60" s="91">
        <f t="shared" si="27"/>
        <v>1081.3699999999999</v>
      </c>
      <c r="AD60" s="68"/>
      <c r="AE60" s="68"/>
      <c r="AF60" s="91"/>
      <c r="AG60" s="91">
        <f>+AC60+AE60-AD60</f>
        <v>1081.3699999999999</v>
      </c>
      <c r="AH60" s="68"/>
      <c r="AI60" s="68"/>
      <c r="AJ60" s="91"/>
      <c r="AK60" s="91">
        <f t="shared" si="9"/>
        <v>1081.3699999999999</v>
      </c>
      <c r="AL60" s="68"/>
      <c r="AM60" s="68"/>
      <c r="AN60" s="91"/>
      <c r="AO60" s="91">
        <f t="shared" si="43"/>
        <v>1081.3699999999999</v>
      </c>
      <c r="AP60" s="68"/>
      <c r="AQ60" s="68"/>
      <c r="AR60" s="90">
        <f t="shared" si="50"/>
        <v>0</v>
      </c>
      <c r="AS60" s="91">
        <f t="shared" si="51"/>
        <v>1081.3699999999999</v>
      </c>
      <c r="AT60" s="68"/>
      <c r="AU60" s="68"/>
      <c r="AV60" s="68"/>
      <c r="AW60" s="68">
        <f t="shared" si="35"/>
        <v>1081.3699999999999</v>
      </c>
      <c r="AX60" s="68"/>
      <c r="AY60" s="68"/>
      <c r="AZ60" s="68"/>
      <c r="BA60" s="68"/>
      <c r="BB60" s="68"/>
      <c r="BC60" s="68"/>
      <c r="BD60" s="68"/>
      <c r="BE60" s="68">
        <f t="shared" si="30"/>
        <v>0</v>
      </c>
      <c r="BF60" s="31"/>
      <c r="BG60" s="32"/>
      <c r="BH60" s="27">
        <v>1</v>
      </c>
      <c r="BI60" s="32">
        <v>689.28</v>
      </c>
      <c r="BJ60" s="32"/>
      <c r="BK60" s="32">
        <f t="shared" si="46"/>
        <v>689.28</v>
      </c>
      <c r="BL60" s="32"/>
      <c r="BM60" s="32"/>
      <c r="BN60" s="32"/>
      <c r="BO60" s="32">
        <f t="shared" si="47"/>
        <v>689.28</v>
      </c>
      <c r="BP60" s="32"/>
      <c r="BQ60" s="32"/>
    </row>
    <row r="61" spans="1:69" x14ac:dyDescent="0.5">
      <c r="A61" s="61">
        <v>55</v>
      </c>
      <c r="B61" s="81" t="s">
        <v>10</v>
      </c>
      <c r="C61" s="67">
        <v>281</v>
      </c>
      <c r="D61" s="68">
        <f>+'กระดาษทำการ 30 เม.ย.58'!BP64</f>
        <v>0</v>
      </c>
      <c r="E61" s="68">
        <f>+'กระดาษทำการ 30 เม.ย.58'!BQ64</f>
        <v>0</v>
      </c>
      <c r="F61" s="68"/>
      <c r="G61" s="68"/>
      <c r="H61" s="90">
        <f t="shared" si="0"/>
        <v>0</v>
      </c>
      <c r="I61" s="91"/>
      <c r="J61" s="68"/>
      <c r="K61" s="68"/>
      <c r="L61" s="91"/>
      <c r="M61" s="91">
        <f t="shared" si="32"/>
        <v>0</v>
      </c>
      <c r="N61" s="76"/>
      <c r="O61" s="76">
        <v>250</v>
      </c>
      <c r="P61" s="91"/>
      <c r="Q61" s="91">
        <f t="shared" si="25"/>
        <v>250</v>
      </c>
      <c r="R61" s="68"/>
      <c r="S61" s="68"/>
      <c r="T61" s="91"/>
      <c r="U61" s="91">
        <f t="shared" si="42"/>
        <v>250</v>
      </c>
      <c r="V61" s="68"/>
      <c r="W61" s="68"/>
      <c r="X61" s="91"/>
      <c r="Y61" s="91">
        <f t="shared" si="20"/>
        <v>250</v>
      </c>
      <c r="Z61" s="68"/>
      <c r="AA61" s="68"/>
      <c r="AB61" s="91"/>
      <c r="AC61" s="91">
        <f t="shared" si="27"/>
        <v>250</v>
      </c>
      <c r="AD61" s="68"/>
      <c r="AE61" s="68"/>
      <c r="AF61" s="91"/>
      <c r="AG61" s="91">
        <f t="shared" si="28"/>
        <v>250</v>
      </c>
      <c r="AH61" s="68"/>
      <c r="AI61" s="68"/>
      <c r="AJ61" s="91"/>
      <c r="AK61" s="91">
        <f t="shared" si="9"/>
        <v>250</v>
      </c>
      <c r="AL61" s="68"/>
      <c r="AM61" s="68">
        <v>150</v>
      </c>
      <c r="AN61" s="91"/>
      <c r="AO61" s="91">
        <f>+AK61+AM61</f>
        <v>400</v>
      </c>
      <c r="AP61" s="68"/>
      <c r="AQ61" s="68"/>
      <c r="AR61" s="90">
        <f t="shared" si="50"/>
        <v>0</v>
      </c>
      <c r="AS61" s="91">
        <f t="shared" si="51"/>
        <v>400</v>
      </c>
      <c r="AT61" s="68"/>
      <c r="AU61" s="68"/>
      <c r="AV61" s="68"/>
      <c r="AW61" s="68">
        <f t="shared" si="35"/>
        <v>400</v>
      </c>
      <c r="AX61" s="68"/>
      <c r="AY61" s="68"/>
      <c r="AZ61" s="68"/>
      <c r="BA61" s="68"/>
      <c r="BB61" s="68"/>
      <c r="BC61" s="68"/>
      <c r="BD61" s="68"/>
      <c r="BE61" s="68">
        <f t="shared" si="30"/>
        <v>0</v>
      </c>
      <c r="BF61" s="31"/>
      <c r="BG61" s="32"/>
      <c r="BH61" s="27"/>
      <c r="BI61" s="32"/>
      <c r="BJ61" s="32"/>
      <c r="BK61" s="32">
        <f t="shared" si="46"/>
        <v>0</v>
      </c>
      <c r="BL61" s="32"/>
      <c r="BM61" s="32"/>
      <c r="BN61" s="32"/>
      <c r="BO61" s="32">
        <f t="shared" si="47"/>
        <v>0</v>
      </c>
      <c r="BP61" s="32"/>
      <c r="BQ61" s="32"/>
    </row>
    <row r="62" spans="1:69" x14ac:dyDescent="0.5">
      <c r="A62" s="61">
        <v>56</v>
      </c>
      <c r="B62" s="81" t="s">
        <v>84</v>
      </c>
      <c r="C62" s="67"/>
      <c r="D62" s="68">
        <f>+'กระดาษทำการ 30 เม.ย.58'!BP65</f>
        <v>0</v>
      </c>
      <c r="E62" s="68">
        <f>+'กระดาษทำการ 30 เม.ย.58'!BQ65</f>
        <v>0</v>
      </c>
      <c r="F62" s="68"/>
      <c r="G62" s="68"/>
      <c r="H62" s="90">
        <f t="shared" si="0"/>
        <v>0</v>
      </c>
      <c r="I62" s="91"/>
      <c r="J62" s="68"/>
      <c r="K62" s="68"/>
      <c r="L62" s="91"/>
      <c r="M62" s="91">
        <f t="shared" si="32"/>
        <v>0</v>
      </c>
      <c r="N62" s="68"/>
      <c r="O62" s="68"/>
      <c r="P62" s="91"/>
      <c r="Q62" s="91">
        <f>+M62+O62-N62</f>
        <v>0</v>
      </c>
      <c r="R62" s="68"/>
      <c r="S62" s="68"/>
      <c r="T62" s="91"/>
      <c r="U62" s="91">
        <f t="shared" si="42"/>
        <v>0</v>
      </c>
      <c r="V62" s="68"/>
      <c r="W62" s="68"/>
      <c r="X62" s="91"/>
      <c r="Y62" s="91"/>
      <c r="Z62" s="68"/>
      <c r="AA62" s="68"/>
      <c r="AB62" s="91"/>
      <c r="AC62" s="91">
        <f>+Y62+AA62-Z62</f>
        <v>0</v>
      </c>
      <c r="AD62" s="68"/>
      <c r="AE62" s="68"/>
      <c r="AF62" s="91"/>
      <c r="AG62" s="91">
        <f t="shared" si="28"/>
        <v>0</v>
      </c>
      <c r="AH62" s="68"/>
      <c r="AI62" s="68"/>
      <c r="AJ62" s="91"/>
      <c r="AK62" s="91">
        <f t="shared" si="9"/>
        <v>0</v>
      </c>
      <c r="AL62" s="68"/>
      <c r="AM62" s="68"/>
      <c r="AN62" s="91"/>
      <c r="AO62" s="91"/>
      <c r="AP62" s="68"/>
      <c r="AQ62" s="68"/>
      <c r="AR62" s="90">
        <f t="shared" si="50"/>
        <v>0</v>
      </c>
      <c r="AS62" s="91">
        <f t="shared" si="51"/>
        <v>0</v>
      </c>
      <c r="AT62" s="68"/>
      <c r="AU62" s="68"/>
      <c r="AV62" s="68"/>
      <c r="AW62" s="68">
        <f t="shared" si="35"/>
        <v>0</v>
      </c>
      <c r="AX62" s="68"/>
      <c r="AY62" s="68"/>
      <c r="AZ62" s="68"/>
      <c r="BA62" s="68"/>
      <c r="BB62" s="68"/>
      <c r="BC62" s="68"/>
      <c r="BD62" s="68"/>
      <c r="BE62" s="68">
        <f t="shared" si="30"/>
        <v>0</v>
      </c>
      <c r="BF62" s="31"/>
      <c r="BG62" s="32"/>
      <c r="BH62" s="27"/>
      <c r="BI62" s="32"/>
      <c r="BJ62" s="32"/>
      <c r="BK62" s="32">
        <f t="shared" si="46"/>
        <v>0</v>
      </c>
      <c r="BL62" s="32"/>
      <c r="BM62" s="32">
        <v>17480</v>
      </c>
      <c r="BN62" s="32"/>
      <c r="BO62" s="32"/>
      <c r="BP62" s="32"/>
      <c r="BQ62" s="32"/>
    </row>
    <row r="63" spans="1:69" x14ac:dyDescent="0.5">
      <c r="A63" s="61">
        <v>57</v>
      </c>
      <c r="B63" s="81" t="s">
        <v>85</v>
      </c>
      <c r="C63" s="67"/>
      <c r="D63" s="68">
        <f>+'กระดาษทำการ 30 เม.ย.58'!BP66</f>
        <v>0</v>
      </c>
      <c r="E63" s="68">
        <f>+'กระดาษทำการ 30 เม.ย.58'!BQ66</f>
        <v>0</v>
      </c>
      <c r="F63" s="68"/>
      <c r="G63" s="68"/>
      <c r="H63" s="90">
        <f t="shared" si="0"/>
        <v>0</v>
      </c>
      <c r="I63" s="91"/>
      <c r="J63" s="68"/>
      <c r="K63" s="68"/>
      <c r="L63" s="91"/>
      <c r="M63" s="91">
        <f t="shared" si="32"/>
        <v>0</v>
      </c>
      <c r="N63" s="68"/>
      <c r="O63" s="68"/>
      <c r="P63" s="91"/>
      <c r="Q63" s="91">
        <f t="shared" si="25"/>
        <v>0</v>
      </c>
      <c r="R63" s="68"/>
      <c r="S63" s="68"/>
      <c r="T63" s="91"/>
      <c r="U63" s="91"/>
      <c r="V63" s="68"/>
      <c r="W63" s="68"/>
      <c r="X63" s="91"/>
      <c r="Y63" s="91"/>
      <c r="Z63" s="68"/>
      <c r="AA63" s="68"/>
      <c r="AB63" s="91"/>
      <c r="AC63" s="91">
        <f t="shared" si="27"/>
        <v>0</v>
      </c>
      <c r="AD63" s="68"/>
      <c r="AE63" s="68"/>
      <c r="AF63" s="91"/>
      <c r="AG63" s="91">
        <f t="shared" si="28"/>
        <v>0</v>
      </c>
      <c r="AH63" s="68"/>
      <c r="AI63" s="68"/>
      <c r="AJ63" s="91"/>
      <c r="AK63" s="91">
        <f t="shared" si="9"/>
        <v>0</v>
      </c>
      <c r="AL63" s="68"/>
      <c r="AM63" s="68"/>
      <c r="AN63" s="91"/>
      <c r="AO63" s="91"/>
      <c r="AP63" s="68"/>
      <c r="AQ63" s="68"/>
      <c r="AR63" s="90">
        <f t="shared" ref="AR63:AR65" si="52">+AN63+AP63-AQ63</f>
        <v>0</v>
      </c>
      <c r="AS63" s="91">
        <f t="shared" ref="AS63:AS65" si="53">+AO63+AQ63-AP63</f>
        <v>0</v>
      </c>
      <c r="AT63" s="68"/>
      <c r="AU63" s="68"/>
      <c r="AV63" s="68"/>
      <c r="AW63" s="68">
        <f t="shared" si="35"/>
        <v>0</v>
      </c>
      <c r="AX63" s="68"/>
      <c r="AY63" s="68"/>
      <c r="AZ63" s="68"/>
      <c r="BA63" s="68"/>
      <c r="BB63" s="68"/>
      <c r="BC63" s="68"/>
      <c r="BD63" s="68"/>
      <c r="BE63" s="68">
        <f t="shared" si="30"/>
        <v>0</v>
      </c>
      <c r="BF63" s="31">
        <v>5</v>
      </c>
      <c r="BG63" s="32">
        <v>232</v>
      </c>
      <c r="BH63" s="27"/>
      <c r="BI63" s="32"/>
      <c r="BJ63" s="32"/>
      <c r="BK63" s="32">
        <f t="shared" si="46"/>
        <v>-232</v>
      </c>
      <c r="BL63" s="32"/>
      <c r="BM63" s="32"/>
      <c r="BN63" s="32"/>
      <c r="BO63" s="32"/>
      <c r="BP63" s="32"/>
      <c r="BQ63" s="32"/>
    </row>
    <row r="64" spans="1:69" ht="24" x14ac:dyDescent="0.55000000000000004">
      <c r="A64" s="61">
        <v>58</v>
      </c>
      <c r="B64" s="81" t="s">
        <v>23</v>
      </c>
      <c r="C64" s="67">
        <v>287</v>
      </c>
      <c r="D64" s="68">
        <f>+'กระดาษทำการ 30 เม.ย.58'!BP67</f>
        <v>0</v>
      </c>
      <c r="E64" s="68">
        <f>+'กระดาษทำการ 30 เม.ย.58'!BQ67</f>
        <v>0</v>
      </c>
      <c r="F64" s="76">
        <v>4806</v>
      </c>
      <c r="G64" s="76"/>
      <c r="H64" s="90">
        <f t="shared" si="0"/>
        <v>4806</v>
      </c>
      <c r="I64" s="91"/>
      <c r="J64" s="76">
        <v>29488</v>
      </c>
      <c r="K64" s="76"/>
      <c r="L64" s="91">
        <f>+H64+J64-K64</f>
        <v>34294</v>
      </c>
      <c r="M64" s="91"/>
      <c r="N64" s="76">
        <v>8432</v>
      </c>
      <c r="O64" s="76"/>
      <c r="P64" s="91">
        <f>+L64+N64-O64</f>
        <v>42726</v>
      </c>
      <c r="Q64" s="91"/>
      <c r="R64" s="60">
        <v>13343</v>
      </c>
      <c r="S64" s="60"/>
      <c r="T64" s="91">
        <f>+P64+R64-S64</f>
        <v>56069</v>
      </c>
      <c r="U64" s="91"/>
      <c r="V64" s="68"/>
      <c r="W64" s="68"/>
      <c r="X64" s="91">
        <f>+T64+V64-W64</f>
        <v>56069</v>
      </c>
      <c r="Y64" s="91"/>
      <c r="Z64" s="60">
        <v>16781</v>
      </c>
      <c r="AA64" s="60"/>
      <c r="AB64" s="91">
        <f>+X64+Z64-AA64</f>
        <v>72850</v>
      </c>
      <c r="AC64" s="91"/>
      <c r="AD64" s="68">
        <f>26000+5000+15310</f>
        <v>46310</v>
      </c>
      <c r="AE64" s="68"/>
      <c r="AF64" s="91">
        <f>+AB64+AD64-AE64</f>
        <v>119160</v>
      </c>
      <c r="AG64" s="91"/>
      <c r="AH64" s="68">
        <v>28950</v>
      </c>
      <c r="AI64" s="68"/>
      <c r="AJ64" s="91">
        <f>+AF64+AH64-AI64</f>
        <v>148110</v>
      </c>
      <c r="AK64" s="91"/>
      <c r="AL64" s="68">
        <f>7970+9600</f>
        <v>17570</v>
      </c>
      <c r="AM64" s="68"/>
      <c r="AN64" s="91">
        <f>+AJ64+AL64-AM64</f>
        <v>165680</v>
      </c>
      <c r="AO64" s="91"/>
      <c r="AP64" s="68">
        <v>12540</v>
      </c>
      <c r="AQ64" s="68"/>
      <c r="AR64" s="90">
        <f t="shared" si="52"/>
        <v>178220</v>
      </c>
      <c r="AS64" s="91">
        <v>0</v>
      </c>
      <c r="AT64" s="68"/>
      <c r="AU64" s="68"/>
      <c r="AV64" s="68">
        <f>+AR64+AT64-AU64</f>
        <v>178220</v>
      </c>
      <c r="AW64" s="68"/>
      <c r="AX64" s="68"/>
      <c r="AY64" s="68"/>
      <c r="AZ64" s="68"/>
      <c r="BA64" s="68"/>
      <c r="BB64" s="68"/>
      <c r="BC64" s="68"/>
      <c r="BD64" s="68">
        <f t="shared" ref="BD64:BD96" si="54">D64+BB64-BC64</f>
        <v>0</v>
      </c>
      <c r="BE64" s="68"/>
      <c r="BF64" s="31"/>
      <c r="BG64" s="32"/>
      <c r="BH64" s="27"/>
      <c r="BI64" s="32"/>
      <c r="BJ64" s="32">
        <f t="shared" ref="BJ64:BJ96" si="55">BD64+BG64-BI64</f>
        <v>0</v>
      </c>
      <c r="BK64" s="32">
        <f t="shared" si="46"/>
        <v>0</v>
      </c>
      <c r="BL64" s="32">
        <f>BJ64</f>
        <v>0</v>
      </c>
      <c r="BM64" s="32"/>
      <c r="BN64" s="32"/>
      <c r="BO64" s="32"/>
      <c r="BP64" s="32"/>
      <c r="BQ64" s="32"/>
    </row>
    <row r="65" spans="1:69" ht="24" x14ac:dyDescent="0.55000000000000004">
      <c r="A65" s="67">
        <v>59</v>
      </c>
      <c r="B65" s="70" t="s">
        <v>148</v>
      </c>
      <c r="C65" s="71"/>
      <c r="D65" s="60"/>
      <c r="E65" s="60"/>
      <c r="F65" s="76">
        <v>288000</v>
      </c>
      <c r="G65" s="76"/>
      <c r="H65" s="91">
        <f t="shared" si="0"/>
        <v>288000</v>
      </c>
      <c r="I65" s="92"/>
      <c r="J65" s="68"/>
      <c r="K65" s="68"/>
      <c r="L65" s="91">
        <f t="shared" ref="L65:L78" si="56">+H65+J65-K65</f>
        <v>288000</v>
      </c>
      <c r="M65" s="91"/>
      <c r="N65" s="68"/>
      <c r="O65" s="68"/>
      <c r="P65" s="91">
        <f t="shared" ref="P65:P98" si="57">+L65+N65-O65</f>
        <v>288000</v>
      </c>
      <c r="Q65" s="91"/>
      <c r="R65" s="68"/>
      <c r="S65" s="68"/>
      <c r="T65" s="91">
        <f t="shared" ref="T65:T98" si="58">+P65+R65-S65</f>
        <v>288000</v>
      </c>
      <c r="U65" s="91"/>
      <c r="V65" s="68"/>
      <c r="W65" s="68"/>
      <c r="X65" s="91">
        <f t="shared" ref="X65:X89" si="59">+T65+V65-W65</f>
        <v>288000</v>
      </c>
      <c r="Y65" s="91"/>
      <c r="Z65" s="68"/>
      <c r="AA65" s="68"/>
      <c r="AB65" s="91">
        <f t="shared" ref="AB65:AB97" si="60">+X65+Z65-AA65</f>
        <v>288000</v>
      </c>
      <c r="AC65" s="91"/>
      <c r="AD65" s="68"/>
      <c r="AE65" s="68"/>
      <c r="AF65" s="91">
        <f t="shared" ref="AF65:AF97" si="61">+AB65+AD65-AE65</f>
        <v>288000</v>
      </c>
      <c r="AG65" s="91"/>
      <c r="AH65" s="68"/>
      <c r="AI65" s="68"/>
      <c r="AJ65" s="91">
        <f t="shared" ref="AJ65:AJ98" si="62">+AF65+AH65-AI65</f>
        <v>288000</v>
      </c>
      <c r="AK65" s="91"/>
      <c r="AL65" s="68"/>
      <c r="AM65" s="68"/>
      <c r="AN65" s="91">
        <f t="shared" ref="AN65:AN97" si="63">+AJ65+AL65-AM65</f>
        <v>288000</v>
      </c>
      <c r="AO65" s="91"/>
      <c r="AP65" s="68">
        <v>0</v>
      </c>
      <c r="AQ65" s="68"/>
      <c r="AR65" s="91">
        <f t="shared" si="52"/>
        <v>288000</v>
      </c>
      <c r="AS65" s="91">
        <f t="shared" si="53"/>
        <v>0</v>
      </c>
      <c r="AT65" s="68"/>
      <c r="AU65" s="68"/>
      <c r="AV65" s="68">
        <f t="shared" ref="AV65:AV81" si="64">+AR65+AT65-AU65</f>
        <v>288000</v>
      </c>
      <c r="AW65" s="68"/>
      <c r="AX65" s="68"/>
      <c r="AY65" s="68"/>
      <c r="AZ65" s="68"/>
      <c r="BA65" s="68"/>
      <c r="BB65" s="68"/>
      <c r="BC65" s="68"/>
      <c r="BD65" s="68"/>
      <c r="BE65" s="68"/>
      <c r="BF65" s="31"/>
      <c r="BG65" s="32"/>
      <c r="BH65" s="27"/>
      <c r="BI65" s="32"/>
      <c r="BJ65" s="32"/>
      <c r="BK65" s="32"/>
      <c r="BL65" s="32"/>
      <c r="BM65" s="32"/>
      <c r="BN65" s="32"/>
      <c r="BO65" s="32"/>
      <c r="BP65" s="32"/>
      <c r="BQ65" s="32"/>
    </row>
    <row r="66" spans="1:69" ht="24" x14ac:dyDescent="0.55000000000000004">
      <c r="A66" s="61">
        <v>60</v>
      </c>
      <c r="B66" s="81" t="s">
        <v>149</v>
      </c>
      <c r="C66" s="67">
        <v>305</v>
      </c>
      <c r="D66" s="68">
        <f>+'กระดาษทำการ 30 เม.ย.58'!BP68</f>
        <v>0</v>
      </c>
      <c r="E66" s="68">
        <f>+'กระดาษทำการ 30 เม.ย.58'!BQ68</f>
        <v>0</v>
      </c>
      <c r="F66" s="76">
        <v>600</v>
      </c>
      <c r="G66" s="68"/>
      <c r="H66" s="90">
        <f t="shared" si="0"/>
        <v>600</v>
      </c>
      <c r="I66" s="91"/>
      <c r="J66" s="76">
        <v>400</v>
      </c>
      <c r="K66" s="76"/>
      <c r="L66" s="91">
        <f t="shared" si="56"/>
        <v>1000</v>
      </c>
      <c r="M66" s="91"/>
      <c r="N66" s="76">
        <v>400</v>
      </c>
      <c r="O66" s="76"/>
      <c r="P66" s="91">
        <f t="shared" si="57"/>
        <v>1400</v>
      </c>
      <c r="Q66" s="91"/>
      <c r="R66" s="60">
        <f>400+400</f>
        <v>800</v>
      </c>
      <c r="S66" s="60"/>
      <c r="T66" s="91">
        <f t="shared" si="58"/>
        <v>2200</v>
      </c>
      <c r="U66" s="91"/>
      <c r="V66" s="60">
        <v>200</v>
      </c>
      <c r="W66" s="60"/>
      <c r="X66" s="91">
        <f t="shared" si="59"/>
        <v>2400</v>
      </c>
      <c r="Y66" s="91"/>
      <c r="Z66" s="60">
        <f>400+800</f>
        <v>1200</v>
      </c>
      <c r="AA66" s="60"/>
      <c r="AB66" s="91">
        <f t="shared" si="60"/>
        <v>3600</v>
      </c>
      <c r="AC66" s="91"/>
      <c r="AD66" s="68">
        <f>400+400</f>
        <v>800</v>
      </c>
      <c r="AE66" s="68"/>
      <c r="AF66" s="91">
        <f t="shared" si="61"/>
        <v>4400</v>
      </c>
      <c r="AG66" s="91"/>
      <c r="AH66" s="68">
        <v>400</v>
      </c>
      <c r="AI66" s="68"/>
      <c r="AJ66" s="91">
        <f t="shared" si="62"/>
        <v>4800</v>
      </c>
      <c r="AK66" s="91"/>
      <c r="AL66" s="68">
        <v>600</v>
      </c>
      <c r="AM66" s="68"/>
      <c r="AN66" s="91">
        <f t="shared" si="63"/>
        <v>5400</v>
      </c>
      <c r="AO66" s="91"/>
      <c r="AP66" s="68">
        <v>200</v>
      </c>
      <c r="AQ66" s="68"/>
      <c r="AR66" s="90">
        <f t="shared" ref="AR66:AR71" si="65">+AN66+AP66-AQ66</f>
        <v>5600</v>
      </c>
      <c r="AS66" s="91">
        <v>0</v>
      </c>
      <c r="AT66" s="68"/>
      <c r="AU66" s="68"/>
      <c r="AV66" s="68">
        <f t="shared" si="64"/>
        <v>5600</v>
      </c>
      <c r="AW66" s="68"/>
      <c r="AX66" s="68"/>
      <c r="AY66" s="68"/>
      <c r="AZ66" s="68"/>
      <c r="BA66" s="68"/>
      <c r="BB66" s="68"/>
      <c r="BC66" s="68"/>
      <c r="BD66" s="68">
        <f t="shared" si="54"/>
        <v>0</v>
      </c>
      <c r="BE66" s="68"/>
      <c r="BF66" s="31"/>
      <c r="BG66" s="32"/>
      <c r="BH66" s="27"/>
      <c r="BI66" s="32"/>
      <c r="BJ66" s="32">
        <f t="shared" si="55"/>
        <v>0</v>
      </c>
      <c r="BK66" s="32">
        <f t="shared" si="46"/>
        <v>0</v>
      </c>
      <c r="BL66" s="32"/>
      <c r="BM66" s="32"/>
      <c r="BN66" s="32">
        <f t="shared" ref="BN66:BN88" si="66">BJ66</f>
        <v>0</v>
      </c>
      <c r="BO66" s="32"/>
      <c r="BP66" s="32"/>
      <c r="BQ66" s="32"/>
    </row>
    <row r="67" spans="1:69" ht="24" x14ac:dyDescent="0.55000000000000004">
      <c r="A67" s="61">
        <v>61</v>
      </c>
      <c r="B67" s="81" t="s">
        <v>150</v>
      </c>
      <c r="C67" s="67"/>
      <c r="D67" s="68"/>
      <c r="E67" s="68"/>
      <c r="F67" s="76">
        <v>1900</v>
      </c>
      <c r="G67" s="68"/>
      <c r="H67" s="90">
        <f t="shared" si="0"/>
        <v>1900</v>
      </c>
      <c r="I67" s="91"/>
      <c r="J67" s="76">
        <f>300+300+500</f>
        <v>1100</v>
      </c>
      <c r="K67" s="76"/>
      <c r="L67" s="91">
        <f t="shared" si="56"/>
        <v>3000</v>
      </c>
      <c r="M67" s="91"/>
      <c r="N67" s="68"/>
      <c r="O67" s="68"/>
      <c r="P67" s="91">
        <f t="shared" si="57"/>
        <v>3000</v>
      </c>
      <c r="Q67" s="91"/>
      <c r="R67" s="60">
        <f>300+500+500+500</f>
        <v>1800</v>
      </c>
      <c r="S67" s="60"/>
      <c r="T67" s="91">
        <f t="shared" si="58"/>
        <v>4800</v>
      </c>
      <c r="U67" s="91"/>
      <c r="V67" s="60">
        <f>500+500+300</f>
        <v>1300</v>
      </c>
      <c r="W67" s="60"/>
      <c r="X67" s="91">
        <f t="shared" si="59"/>
        <v>6100</v>
      </c>
      <c r="Y67" s="91"/>
      <c r="Z67" s="60">
        <f>500+300+500</f>
        <v>1300</v>
      </c>
      <c r="AA67" s="60"/>
      <c r="AB67" s="91">
        <f t="shared" si="60"/>
        <v>7400</v>
      </c>
      <c r="AC67" s="91"/>
      <c r="AD67" s="68">
        <f>500+1000</f>
        <v>1500</v>
      </c>
      <c r="AE67" s="68"/>
      <c r="AF67" s="91">
        <f t="shared" si="61"/>
        <v>8900</v>
      </c>
      <c r="AG67" s="91"/>
      <c r="AH67" s="68">
        <f>800+500</f>
        <v>1300</v>
      </c>
      <c r="AI67" s="68"/>
      <c r="AJ67" s="91">
        <f t="shared" si="62"/>
        <v>10200</v>
      </c>
      <c r="AK67" s="91"/>
      <c r="AL67" s="68">
        <f>300+300+300+300+500+300</f>
        <v>2000</v>
      </c>
      <c r="AM67" s="68"/>
      <c r="AN67" s="91">
        <f t="shared" si="63"/>
        <v>12200</v>
      </c>
      <c r="AO67" s="91"/>
      <c r="AP67" s="68">
        <v>500</v>
      </c>
      <c r="AQ67" s="68"/>
      <c r="AR67" s="90">
        <f t="shared" si="65"/>
        <v>12700</v>
      </c>
      <c r="AS67" s="91">
        <v>0</v>
      </c>
      <c r="AT67" s="60">
        <f>1100+300</f>
        <v>1400</v>
      </c>
      <c r="AU67" s="68"/>
      <c r="AV67" s="68">
        <f t="shared" si="64"/>
        <v>14100</v>
      </c>
      <c r="AW67" s="68"/>
      <c r="AX67" s="68"/>
      <c r="AY67" s="68"/>
      <c r="AZ67" s="68"/>
      <c r="BA67" s="68"/>
      <c r="BB67" s="68"/>
      <c r="BC67" s="68"/>
      <c r="BD67" s="68"/>
      <c r="BE67" s="68"/>
      <c r="BF67" s="31"/>
      <c r="BG67" s="32"/>
      <c r="BH67" s="27"/>
      <c r="BI67" s="32"/>
      <c r="BJ67" s="32"/>
      <c r="BK67" s="32"/>
      <c r="BL67" s="32"/>
      <c r="BM67" s="32"/>
      <c r="BN67" s="32"/>
      <c r="BO67" s="32"/>
      <c r="BP67" s="32"/>
      <c r="BQ67" s="32"/>
    </row>
    <row r="68" spans="1:69" ht="24" x14ac:dyDescent="0.55000000000000004">
      <c r="A68" s="61">
        <v>62</v>
      </c>
      <c r="B68" s="81" t="s">
        <v>17</v>
      </c>
      <c r="C68" s="67">
        <v>309</v>
      </c>
      <c r="D68" s="68">
        <f>+'กระดาษทำการ 30 เม.ย.58'!BP69</f>
        <v>0</v>
      </c>
      <c r="E68" s="68">
        <f>+'กระดาษทำการ 30 เม.ย.58'!BQ69</f>
        <v>0</v>
      </c>
      <c r="F68" s="68"/>
      <c r="G68" s="68"/>
      <c r="H68" s="90">
        <f t="shared" si="0"/>
        <v>0</v>
      </c>
      <c r="I68" s="91"/>
      <c r="J68" s="76">
        <f>750+750</f>
        <v>1500</v>
      </c>
      <c r="K68" s="76"/>
      <c r="L68" s="91">
        <f t="shared" si="56"/>
        <v>1500</v>
      </c>
      <c r="M68" s="91"/>
      <c r="N68" s="76">
        <v>750</v>
      </c>
      <c r="O68" s="76"/>
      <c r="P68" s="91">
        <f t="shared" si="57"/>
        <v>2250</v>
      </c>
      <c r="Q68" s="91"/>
      <c r="R68" s="68"/>
      <c r="S68" s="68"/>
      <c r="T68" s="91">
        <f t="shared" si="58"/>
        <v>2250</v>
      </c>
      <c r="U68" s="91"/>
      <c r="V68" s="68"/>
      <c r="W68" s="68"/>
      <c r="X68" s="91">
        <f>+T68+V68-W68</f>
        <v>2250</v>
      </c>
      <c r="Y68" s="91"/>
      <c r="Z68" s="60">
        <v>1200</v>
      </c>
      <c r="AA68" s="60"/>
      <c r="AB68" s="91">
        <f t="shared" si="60"/>
        <v>3450</v>
      </c>
      <c r="AC68" s="91"/>
      <c r="AD68" s="68"/>
      <c r="AE68" s="68"/>
      <c r="AF68" s="91">
        <f t="shared" si="61"/>
        <v>3450</v>
      </c>
      <c r="AG68" s="91"/>
      <c r="AH68" s="68"/>
      <c r="AI68" s="68"/>
      <c r="AJ68" s="91">
        <f t="shared" si="62"/>
        <v>3450</v>
      </c>
      <c r="AK68" s="91"/>
      <c r="AL68" s="68">
        <v>900</v>
      </c>
      <c r="AM68" s="68"/>
      <c r="AN68" s="91">
        <f t="shared" si="63"/>
        <v>4350</v>
      </c>
      <c r="AO68" s="91"/>
      <c r="AP68" s="68">
        <v>3000</v>
      </c>
      <c r="AQ68" s="68"/>
      <c r="AR68" s="90">
        <f t="shared" si="65"/>
        <v>7350</v>
      </c>
      <c r="AS68" s="91">
        <v>0</v>
      </c>
      <c r="AT68" s="60">
        <f>1050+1050</f>
        <v>2100</v>
      </c>
      <c r="AU68" s="68"/>
      <c r="AV68" s="68">
        <f t="shared" si="64"/>
        <v>9450</v>
      </c>
      <c r="AW68" s="68"/>
      <c r="AX68" s="68"/>
      <c r="AY68" s="68"/>
      <c r="AZ68" s="68"/>
      <c r="BA68" s="68"/>
      <c r="BB68" s="68"/>
      <c r="BC68" s="68"/>
      <c r="BD68" s="68">
        <f t="shared" si="54"/>
        <v>0</v>
      </c>
      <c r="BE68" s="68"/>
      <c r="BF68" s="31"/>
      <c r="BG68" s="32"/>
      <c r="BH68" s="27"/>
      <c r="BI68" s="32"/>
      <c r="BJ68" s="32">
        <f t="shared" si="55"/>
        <v>0</v>
      </c>
      <c r="BK68" s="32">
        <f t="shared" si="46"/>
        <v>0</v>
      </c>
      <c r="BL68" s="32"/>
      <c r="BM68" s="32"/>
      <c r="BN68" s="32">
        <f t="shared" si="66"/>
        <v>0</v>
      </c>
      <c r="BO68" s="32"/>
      <c r="BP68" s="32"/>
      <c r="BQ68" s="32"/>
    </row>
    <row r="69" spans="1:69" ht="24" x14ac:dyDescent="0.55000000000000004">
      <c r="A69" s="61">
        <v>63</v>
      </c>
      <c r="B69" s="81" t="s">
        <v>14</v>
      </c>
      <c r="C69" s="67">
        <v>319</v>
      </c>
      <c r="D69" s="68">
        <f>+'กระดาษทำการ 30 เม.ย.58'!BP70</f>
        <v>0</v>
      </c>
      <c r="E69" s="68">
        <f>+'กระดาษทำการ 30 เม.ย.58'!BQ70</f>
        <v>0</v>
      </c>
      <c r="F69" s="68">
        <v>990</v>
      </c>
      <c r="G69" s="68"/>
      <c r="H69" s="90">
        <f t="shared" si="0"/>
        <v>990</v>
      </c>
      <c r="I69" s="91"/>
      <c r="J69" s="68">
        <v>1700</v>
      </c>
      <c r="K69" s="68"/>
      <c r="L69" s="91">
        <f>+H69+J69-K69</f>
        <v>2690</v>
      </c>
      <c r="M69" s="91"/>
      <c r="N69" s="76">
        <f>200+350</f>
        <v>550</v>
      </c>
      <c r="O69" s="76"/>
      <c r="P69" s="91">
        <f t="shared" si="57"/>
        <v>3240</v>
      </c>
      <c r="Q69" s="91"/>
      <c r="R69" s="60">
        <v>20</v>
      </c>
      <c r="S69" s="60"/>
      <c r="T69" s="91">
        <f t="shared" si="58"/>
        <v>3260</v>
      </c>
      <c r="U69" s="91"/>
      <c r="V69" s="60">
        <f>500+840</f>
        <v>1340</v>
      </c>
      <c r="W69" s="60"/>
      <c r="X69" s="91">
        <f t="shared" si="59"/>
        <v>4600</v>
      </c>
      <c r="Y69" s="91"/>
      <c r="Z69" s="60">
        <f>500+870</f>
        <v>1370</v>
      </c>
      <c r="AA69" s="60"/>
      <c r="AB69" s="91">
        <f t="shared" si="60"/>
        <v>5970</v>
      </c>
      <c r="AC69" s="91"/>
      <c r="AD69" s="68">
        <f>1700+500</f>
        <v>2200</v>
      </c>
      <c r="AE69" s="68"/>
      <c r="AF69" s="91">
        <f t="shared" si="61"/>
        <v>8170</v>
      </c>
      <c r="AG69" s="91"/>
      <c r="AH69" s="68"/>
      <c r="AI69" s="68"/>
      <c r="AJ69" s="91">
        <f t="shared" si="62"/>
        <v>8170</v>
      </c>
      <c r="AK69" s="91"/>
      <c r="AL69" s="68">
        <v>690</v>
      </c>
      <c r="AM69" s="68"/>
      <c r="AN69" s="91">
        <f t="shared" si="63"/>
        <v>8860</v>
      </c>
      <c r="AO69" s="91"/>
      <c r="AP69" s="68">
        <v>300</v>
      </c>
      <c r="AQ69" s="68"/>
      <c r="AR69" s="90">
        <f t="shared" si="65"/>
        <v>9160</v>
      </c>
      <c r="AS69" s="91">
        <v>0</v>
      </c>
      <c r="AT69" s="60">
        <v>250</v>
      </c>
      <c r="AU69" s="68"/>
      <c r="AV69" s="68">
        <f t="shared" si="64"/>
        <v>9410</v>
      </c>
      <c r="AW69" s="68"/>
      <c r="AX69" s="68"/>
      <c r="AY69" s="68"/>
      <c r="AZ69" s="68"/>
      <c r="BA69" s="68"/>
      <c r="BB69" s="68"/>
      <c r="BC69" s="68"/>
      <c r="BD69" s="68">
        <f t="shared" si="54"/>
        <v>0</v>
      </c>
      <c r="BE69" s="68"/>
      <c r="BF69" s="31">
        <v>15</v>
      </c>
      <c r="BG69" s="32">
        <v>40</v>
      </c>
      <c r="BH69" s="27"/>
      <c r="BI69" s="32"/>
      <c r="BJ69" s="32">
        <f t="shared" si="55"/>
        <v>40</v>
      </c>
      <c r="BK69" s="32"/>
      <c r="BL69" s="32"/>
      <c r="BM69" s="32"/>
      <c r="BN69" s="32">
        <f t="shared" si="66"/>
        <v>40</v>
      </c>
      <c r="BO69" s="32"/>
      <c r="BP69" s="32"/>
      <c r="BQ69" s="32"/>
    </row>
    <row r="70" spans="1:69" ht="24" x14ac:dyDescent="0.55000000000000004">
      <c r="A70" s="61">
        <v>64</v>
      </c>
      <c r="B70" s="81" t="s">
        <v>72</v>
      </c>
      <c r="C70" s="67">
        <v>345</v>
      </c>
      <c r="D70" s="68">
        <f>+'กระดาษทำการ 30 เม.ย.58'!BP71</f>
        <v>0</v>
      </c>
      <c r="E70" s="68">
        <f>+'กระดาษทำการ 30 เม.ย.58'!BQ71</f>
        <v>0</v>
      </c>
      <c r="F70" s="68">
        <v>111</v>
      </c>
      <c r="G70" s="68"/>
      <c r="H70" s="90">
        <f t="shared" si="0"/>
        <v>111</v>
      </c>
      <c r="I70" s="91"/>
      <c r="J70" s="68"/>
      <c r="K70" s="68"/>
      <c r="L70" s="91">
        <f t="shared" si="56"/>
        <v>111</v>
      </c>
      <c r="M70" s="91"/>
      <c r="N70" s="68"/>
      <c r="O70" s="68"/>
      <c r="P70" s="91">
        <f t="shared" si="57"/>
        <v>111</v>
      </c>
      <c r="Q70" s="91"/>
      <c r="R70" s="68"/>
      <c r="S70" s="68"/>
      <c r="T70" s="91">
        <f t="shared" si="58"/>
        <v>111</v>
      </c>
      <c r="U70" s="91"/>
      <c r="V70" s="60">
        <v>47</v>
      </c>
      <c r="W70" s="60"/>
      <c r="X70" s="91">
        <f t="shared" si="59"/>
        <v>158</v>
      </c>
      <c r="Y70" s="91"/>
      <c r="Z70" s="68"/>
      <c r="AA70" s="68"/>
      <c r="AB70" s="91">
        <f t="shared" si="60"/>
        <v>158</v>
      </c>
      <c r="AC70" s="91"/>
      <c r="AD70" s="68"/>
      <c r="AE70" s="68"/>
      <c r="AF70" s="91">
        <f t="shared" si="61"/>
        <v>158</v>
      </c>
      <c r="AG70" s="91"/>
      <c r="AH70" s="68"/>
      <c r="AI70" s="68"/>
      <c r="AJ70" s="91">
        <f t="shared" si="62"/>
        <v>158</v>
      </c>
      <c r="AK70" s="91"/>
      <c r="AL70" s="68">
        <v>40</v>
      </c>
      <c r="AM70" s="68"/>
      <c r="AN70" s="91">
        <f t="shared" si="63"/>
        <v>198</v>
      </c>
      <c r="AO70" s="91"/>
      <c r="AP70" s="68"/>
      <c r="AQ70" s="68"/>
      <c r="AR70" s="90">
        <f t="shared" si="65"/>
        <v>198</v>
      </c>
      <c r="AS70" s="91">
        <f t="shared" ref="AS70:AS71" si="67">+AO70+AQ70-AP70</f>
        <v>0</v>
      </c>
      <c r="AT70" s="60">
        <v>20</v>
      </c>
      <c r="AU70" s="68"/>
      <c r="AV70" s="68">
        <f>+AR70+AT70-AU70</f>
        <v>218</v>
      </c>
      <c r="AW70" s="68"/>
      <c r="AX70" s="68"/>
      <c r="AY70" s="68"/>
      <c r="AZ70" s="68"/>
      <c r="BA70" s="68"/>
      <c r="BB70" s="68"/>
      <c r="BC70" s="68"/>
      <c r="BD70" s="68">
        <f t="shared" si="54"/>
        <v>0</v>
      </c>
      <c r="BE70" s="68"/>
      <c r="BF70" s="31"/>
      <c r="BG70" s="32"/>
      <c r="BH70" s="27"/>
      <c r="BI70" s="32"/>
      <c r="BJ70" s="32">
        <f t="shared" si="55"/>
        <v>0</v>
      </c>
      <c r="BK70" s="32">
        <f t="shared" si="46"/>
        <v>0</v>
      </c>
      <c r="BL70" s="32"/>
      <c r="BM70" s="32"/>
      <c r="BN70" s="32">
        <f t="shared" si="66"/>
        <v>0</v>
      </c>
      <c r="BO70" s="32"/>
      <c r="BP70" s="32"/>
      <c r="BQ70" s="32"/>
    </row>
    <row r="71" spans="1:69" ht="24" x14ac:dyDescent="0.55000000000000004">
      <c r="A71" s="67">
        <v>65</v>
      </c>
      <c r="B71" s="81" t="s">
        <v>73</v>
      </c>
      <c r="C71" s="67">
        <v>325</v>
      </c>
      <c r="D71" s="68">
        <f>+'กระดาษทำการ 30 เม.ย.58'!BP72</f>
        <v>0</v>
      </c>
      <c r="E71" s="68">
        <f>+'กระดาษทำการ 30 เม.ย.58'!BQ72</f>
        <v>0</v>
      </c>
      <c r="F71" s="68"/>
      <c r="G71" s="68"/>
      <c r="H71" s="91">
        <f t="shared" si="0"/>
        <v>0</v>
      </c>
      <c r="I71" s="91"/>
      <c r="J71" s="68"/>
      <c r="K71" s="68"/>
      <c r="L71" s="91">
        <f t="shared" si="56"/>
        <v>0</v>
      </c>
      <c r="M71" s="91"/>
      <c r="N71" s="68"/>
      <c r="O71" s="68"/>
      <c r="P71" s="91">
        <f t="shared" si="57"/>
        <v>0</v>
      </c>
      <c r="Q71" s="91"/>
      <c r="R71" s="68"/>
      <c r="S71" s="68"/>
      <c r="T71" s="91">
        <f t="shared" si="58"/>
        <v>0</v>
      </c>
      <c r="U71" s="91"/>
      <c r="V71" s="60">
        <v>1600</v>
      </c>
      <c r="W71" s="60"/>
      <c r="X71" s="91">
        <f t="shared" si="59"/>
        <v>1600</v>
      </c>
      <c r="Y71" s="91"/>
      <c r="Z71" s="68"/>
      <c r="AA71" s="68"/>
      <c r="AB71" s="91">
        <f t="shared" si="60"/>
        <v>1600</v>
      </c>
      <c r="AC71" s="91"/>
      <c r="AD71" s="68"/>
      <c r="AE71" s="68"/>
      <c r="AF71" s="91">
        <f t="shared" si="61"/>
        <v>1600</v>
      </c>
      <c r="AG71" s="91"/>
      <c r="AH71" s="68"/>
      <c r="AI71" s="68"/>
      <c r="AJ71" s="91">
        <f t="shared" si="62"/>
        <v>1600</v>
      </c>
      <c r="AK71" s="91"/>
      <c r="AL71" s="68"/>
      <c r="AM71" s="68"/>
      <c r="AN71" s="91">
        <f t="shared" si="63"/>
        <v>1600</v>
      </c>
      <c r="AO71" s="91"/>
      <c r="AP71" s="68"/>
      <c r="AQ71" s="68"/>
      <c r="AR71" s="91">
        <f t="shared" si="65"/>
        <v>1600</v>
      </c>
      <c r="AS71" s="91">
        <f t="shared" si="67"/>
        <v>0</v>
      </c>
      <c r="AT71" s="68"/>
      <c r="AU71" s="68"/>
      <c r="AV71" s="68">
        <f t="shared" si="64"/>
        <v>1600</v>
      </c>
      <c r="AW71" s="68"/>
      <c r="AX71" s="68"/>
      <c r="AY71" s="68"/>
      <c r="AZ71" s="68"/>
      <c r="BA71" s="68"/>
      <c r="BB71" s="68"/>
      <c r="BC71" s="68"/>
      <c r="BD71" s="68">
        <f t="shared" si="54"/>
        <v>0</v>
      </c>
      <c r="BE71" s="68"/>
      <c r="BF71" s="31"/>
      <c r="BG71" s="32"/>
      <c r="BH71" s="27"/>
      <c r="BI71" s="32"/>
      <c r="BJ71" s="32">
        <f t="shared" si="55"/>
        <v>0</v>
      </c>
      <c r="BK71" s="32">
        <f t="shared" si="46"/>
        <v>0</v>
      </c>
      <c r="BL71" s="32"/>
      <c r="BM71" s="32"/>
      <c r="BN71" s="32">
        <f t="shared" si="66"/>
        <v>0</v>
      </c>
      <c r="BO71" s="32"/>
      <c r="BP71" s="32"/>
      <c r="BQ71" s="32"/>
    </row>
    <row r="72" spans="1:69" x14ac:dyDescent="0.5">
      <c r="A72" s="61">
        <v>66</v>
      </c>
      <c r="B72" s="81" t="s">
        <v>15</v>
      </c>
      <c r="C72" s="67">
        <v>327</v>
      </c>
      <c r="D72" s="68">
        <f>+'กระดาษทำการ 30 เม.ย.58'!BP73</f>
        <v>0</v>
      </c>
      <c r="E72" s="68">
        <f>+'กระดาษทำการ 30 เม.ย.58'!BQ73</f>
        <v>0</v>
      </c>
      <c r="F72" s="68">
        <v>1835</v>
      </c>
      <c r="G72" s="68"/>
      <c r="H72" s="91">
        <f t="shared" si="0"/>
        <v>1835</v>
      </c>
      <c r="I72" s="91"/>
      <c r="J72" s="68"/>
      <c r="K72" s="68"/>
      <c r="L72" s="91">
        <f>+H72+J72-K72</f>
        <v>1835</v>
      </c>
      <c r="M72" s="91"/>
      <c r="N72" s="76">
        <v>400</v>
      </c>
      <c r="O72" s="76"/>
      <c r="P72" s="91">
        <f>+L72+N72-O72</f>
        <v>2235</v>
      </c>
      <c r="Q72" s="91"/>
      <c r="R72" s="68"/>
      <c r="S72" s="68"/>
      <c r="T72" s="91">
        <f t="shared" si="58"/>
        <v>2235</v>
      </c>
      <c r="U72" s="91"/>
      <c r="V72" s="68"/>
      <c r="W72" s="68"/>
      <c r="X72" s="91">
        <f>+T72+V72-W72</f>
        <v>2235</v>
      </c>
      <c r="Y72" s="91"/>
      <c r="Z72" s="68"/>
      <c r="AA72" s="68"/>
      <c r="AB72" s="91">
        <f t="shared" si="60"/>
        <v>2235</v>
      </c>
      <c r="AC72" s="91"/>
      <c r="AD72" s="68">
        <v>380</v>
      </c>
      <c r="AE72" s="68"/>
      <c r="AF72" s="91">
        <f t="shared" si="61"/>
        <v>2615</v>
      </c>
      <c r="AG72" s="91"/>
      <c r="AH72" s="68"/>
      <c r="AI72" s="68"/>
      <c r="AJ72" s="91">
        <f t="shared" si="62"/>
        <v>2615</v>
      </c>
      <c r="AK72" s="91"/>
      <c r="AL72" s="68"/>
      <c r="AM72" s="68"/>
      <c r="AN72" s="91">
        <f t="shared" si="63"/>
        <v>2615</v>
      </c>
      <c r="AO72" s="91"/>
      <c r="AP72" s="68"/>
      <c r="AQ72" s="68"/>
      <c r="AR72" s="90">
        <f t="shared" ref="AR72:AR74" si="68">+AN72+AP72-AQ72</f>
        <v>2615</v>
      </c>
      <c r="AS72" s="91">
        <f t="shared" ref="AS72:AS74" si="69">+AO72+AQ72-AP72</f>
        <v>0</v>
      </c>
      <c r="AT72" s="68">
        <v>225</v>
      </c>
      <c r="AU72" s="68"/>
      <c r="AV72" s="68">
        <f t="shared" si="64"/>
        <v>2840</v>
      </c>
      <c r="AW72" s="68"/>
      <c r="AX72" s="68"/>
      <c r="AY72" s="68"/>
      <c r="AZ72" s="68"/>
      <c r="BA72" s="68"/>
      <c r="BB72" s="68"/>
      <c r="BC72" s="68"/>
      <c r="BD72" s="68">
        <f t="shared" si="54"/>
        <v>0</v>
      </c>
      <c r="BE72" s="68"/>
      <c r="BF72" s="31"/>
      <c r="BG72" s="32"/>
      <c r="BH72" s="27"/>
      <c r="BI72" s="32"/>
      <c r="BJ72" s="32">
        <f t="shared" si="55"/>
        <v>0</v>
      </c>
      <c r="BK72" s="32">
        <f t="shared" si="46"/>
        <v>0</v>
      </c>
      <c r="BL72" s="32"/>
      <c r="BM72" s="32"/>
      <c r="BN72" s="32">
        <f t="shared" si="66"/>
        <v>0</v>
      </c>
      <c r="BO72" s="32"/>
      <c r="BP72" s="32"/>
      <c r="BQ72" s="32"/>
    </row>
    <row r="73" spans="1:69" x14ac:dyDescent="0.5">
      <c r="A73" s="61">
        <v>67</v>
      </c>
      <c r="B73" s="81" t="s">
        <v>74</v>
      </c>
      <c r="C73" s="67">
        <v>329</v>
      </c>
      <c r="D73" s="68">
        <f>+'กระดาษทำการ 30 เม.ย.58'!BP74</f>
        <v>0</v>
      </c>
      <c r="E73" s="68">
        <f>+'กระดาษทำการ 30 เม.ย.58'!BQ74</f>
        <v>0</v>
      </c>
      <c r="F73" s="68"/>
      <c r="G73" s="68"/>
      <c r="H73" s="90">
        <f t="shared" si="0"/>
        <v>0</v>
      </c>
      <c r="I73" s="91"/>
      <c r="J73" s="68"/>
      <c r="K73" s="68"/>
      <c r="L73" s="91">
        <f t="shared" si="56"/>
        <v>0</v>
      </c>
      <c r="M73" s="91"/>
      <c r="N73" s="68"/>
      <c r="O73" s="68"/>
      <c r="P73" s="91">
        <f t="shared" si="57"/>
        <v>0</v>
      </c>
      <c r="Q73" s="91"/>
      <c r="R73" s="68"/>
      <c r="S73" s="68"/>
      <c r="T73" s="91">
        <f>+P73+R73-S73</f>
        <v>0</v>
      </c>
      <c r="U73" s="91"/>
      <c r="V73" s="68"/>
      <c r="W73" s="68"/>
      <c r="X73" s="91">
        <f t="shared" si="59"/>
        <v>0</v>
      </c>
      <c r="Y73" s="91"/>
      <c r="Z73" s="68"/>
      <c r="AA73" s="68"/>
      <c r="AB73" s="91">
        <f t="shared" si="60"/>
        <v>0</v>
      </c>
      <c r="AC73" s="91"/>
      <c r="AD73" s="68"/>
      <c r="AE73" s="68"/>
      <c r="AF73" s="91">
        <f t="shared" si="61"/>
        <v>0</v>
      </c>
      <c r="AG73" s="91"/>
      <c r="AH73" s="68"/>
      <c r="AI73" s="68"/>
      <c r="AJ73" s="91">
        <f t="shared" si="62"/>
        <v>0</v>
      </c>
      <c r="AK73" s="91"/>
      <c r="AL73" s="68"/>
      <c r="AM73" s="68"/>
      <c r="AN73" s="91">
        <f t="shared" si="63"/>
        <v>0</v>
      </c>
      <c r="AO73" s="91"/>
      <c r="AP73" s="68"/>
      <c r="AQ73" s="68"/>
      <c r="AR73" s="90">
        <f t="shared" si="68"/>
        <v>0</v>
      </c>
      <c r="AS73" s="91">
        <f t="shared" si="69"/>
        <v>0</v>
      </c>
      <c r="AT73" s="68"/>
      <c r="AU73" s="68"/>
      <c r="AV73" s="68">
        <f t="shared" si="64"/>
        <v>0</v>
      </c>
      <c r="AW73" s="68"/>
      <c r="AX73" s="68"/>
      <c r="AY73" s="68"/>
      <c r="AZ73" s="68"/>
      <c r="BA73" s="68"/>
      <c r="BB73" s="68"/>
      <c r="BC73" s="68"/>
      <c r="BD73" s="68">
        <f t="shared" si="54"/>
        <v>0</v>
      </c>
      <c r="BE73" s="68"/>
      <c r="BF73" s="31"/>
      <c r="BG73" s="32"/>
      <c r="BH73" s="27"/>
      <c r="BI73" s="32"/>
      <c r="BJ73" s="32">
        <f t="shared" si="55"/>
        <v>0</v>
      </c>
      <c r="BK73" s="32">
        <f t="shared" si="46"/>
        <v>0</v>
      </c>
      <c r="BL73" s="32"/>
      <c r="BM73" s="32"/>
      <c r="BN73" s="32">
        <f t="shared" si="66"/>
        <v>0</v>
      </c>
      <c r="BO73" s="32"/>
      <c r="BP73" s="32"/>
      <c r="BQ73" s="32"/>
    </row>
    <row r="74" spans="1:69" ht="24" x14ac:dyDescent="0.55000000000000004">
      <c r="A74" s="61">
        <v>68</v>
      </c>
      <c r="B74" s="81" t="s">
        <v>75</v>
      </c>
      <c r="C74" s="67">
        <v>331</v>
      </c>
      <c r="D74" s="68">
        <f>+'กระดาษทำการ 30 เม.ย.58'!BP75</f>
        <v>0</v>
      </c>
      <c r="E74" s="68">
        <f>+'กระดาษทำการ 30 เม.ย.58'!BQ75</f>
        <v>0</v>
      </c>
      <c r="F74" s="76">
        <v>368.5</v>
      </c>
      <c r="G74" s="68"/>
      <c r="H74" s="90">
        <f t="shared" ref="H74:H98" si="70">+D74+F74-G74</f>
        <v>368.5</v>
      </c>
      <c r="I74" s="91"/>
      <c r="J74" s="68"/>
      <c r="K74" s="68"/>
      <c r="L74" s="91">
        <f t="shared" si="56"/>
        <v>368.5</v>
      </c>
      <c r="M74" s="91"/>
      <c r="N74" s="76">
        <f>368.5+368.5</f>
        <v>737</v>
      </c>
      <c r="O74" s="76"/>
      <c r="P74" s="91">
        <f t="shared" si="57"/>
        <v>1105.5</v>
      </c>
      <c r="Q74" s="91"/>
      <c r="R74" s="60">
        <v>368.5</v>
      </c>
      <c r="S74" s="60"/>
      <c r="T74" s="91">
        <f t="shared" si="58"/>
        <v>1474</v>
      </c>
      <c r="U74" s="91"/>
      <c r="V74" s="60">
        <v>368.5</v>
      </c>
      <c r="W74" s="60"/>
      <c r="X74" s="91">
        <f t="shared" si="59"/>
        <v>1842.5</v>
      </c>
      <c r="Y74" s="91"/>
      <c r="Z74" s="60">
        <v>368.5</v>
      </c>
      <c r="AA74" s="60"/>
      <c r="AB74" s="91">
        <f t="shared" si="60"/>
        <v>2211</v>
      </c>
      <c r="AC74" s="91"/>
      <c r="AD74" s="68"/>
      <c r="AE74" s="68"/>
      <c r="AF74" s="91">
        <f t="shared" si="61"/>
        <v>2211</v>
      </c>
      <c r="AG74" s="91"/>
      <c r="AH74" s="68"/>
      <c r="AI74" s="68"/>
      <c r="AJ74" s="91">
        <f t="shared" si="62"/>
        <v>2211</v>
      </c>
      <c r="AK74" s="91"/>
      <c r="AL74" s="68"/>
      <c r="AM74" s="68"/>
      <c r="AN74" s="91">
        <f t="shared" si="63"/>
        <v>2211</v>
      </c>
      <c r="AO74" s="91"/>
      <c r="AP74" s="68"/>
      <c r="AQ74" s="68"/>
      <c r="AR74" s="90">
        <f t="shared" si="68"/>
        <v>2211</v>
      </c>
      <c r="AS74" s="91">
        <f t="shared" si="69"/>
        <v>0</v>
      </c>
      <c r="AT74" s="68"/>
      <c r="AU74" s="68"/>
      <c r="AV74" s="68">
        <f t="shared" si="64"/>
        <v>2211</v>
      </c>
      <c r="AW74" s="68"/>
      <c r="AX74" s="68"/>
      <c r="AY74" s="68"/>
      <c r="AZ74" s="68"/>
      <c r="BA74" s="68"/>
      <c r="BB74" s="68"/>
      <c r="BC74" s="68"/>
      <c r="BD74" s="68">
        <f t="shared" si="54"/>
        <v>0</v>
      </c>
      <c r="BE74" s="68"/>
      <c r="BF74" s="31"/>
      <c r="BG74" s="32"/>
      <c r="BH74" s="50" t="s">
        <v>106</v>
      </c>
      <c r="BI74" s="32">
        <f>1105.5+737</f>
        <v>1842.5</v>
      </c>
      <c r="BJ74" s="32">
        <f t="shared" si="55"/>
        <v>-1842.5</v>
      </c>
      <c r="BK74" s="32"/>
      <c r="BL74" s="32"/>
      <c r="BM74" s="32"/>
      <c r="BN74" s="32">
        <f t="shared" si="66"/>
        <v>-1842.5</v>
      </c>
      <c r="BO74" s="32"/>
      <c r="BP74" s="32"/>
      <c r="BQ74" s="32"/>
    </row>
    <row r="75" spans="1:69" ht="24" x14ac:dyDescent="0.55000000000000004">
      <c r="A75" s="61">
        <v>69</v>
      </c>
      <c r="B75" s="81" t="s">
        <v>154</v>
      </c>
      <c r="C75" s="67"/>
      <c r="D75" s="68"/>
      <c r="E75" s="68"/>
      <c r="F75" s="76"/>
      <c r="G75" s="68"/>
      <c r="H75" s="90"/>
      <c r="I75" s="91"/>
      <c r="J75" s="68"/>
      <c r="K75" s="68"/>
      <c r="L75" s="91"/>
      <c r="M75" s="91"/>
      <c r="N75" s="76"/>
      <c r="O75" s="76"/>
      <c r="P75" s="91"/>
      <c r="Q75" s="91"/>
      <c r="R75" s="60"/>
      <c r="S75" s="60"/>
      <c r="T75" s="91"/>
      <c r="U75" s="91"/>
      <c r="V75" s="60"/>
      <c r="W75" s="60"/>
      <c r="X75" s="91"/>
      <c r="Y75" s="91"/>
      <c r="Z75" s="60"/>
      <c r="AA75" s="60"/>
      <c r="AB75" s="91"/>
      <c r="AC75" s="91"/>
      <c r="AD75" s="68"/>
      <c r="AE75" s="68"/>
      <c r="AF75" s="91"/>
      <c r="AG75" s="91"/>
      <c r="AH75" s="68">
        <v>46.69</v>
      </c>
      <c r="AI75" s="68"/>
      <c r="AJ75" s="91">
        <f t="shared" si="62"/>
        <v>46.69</v>
      </c>
      <c r="AK75" s="91"/>
      <c r="AL75" s="68"/>
      <c r="AM75" s="68"/>
      <c r="AN75" s="91">
        <f t="shared" si="63"/>
        <v>46.69</v>
      </c>
      <c r="AO75" s="91"/>
      <c r="AP75" s="68"/>
      <c r="AQ75" s="68"/>
      <c r="AR75" s="90">
        <f t="shared" ref="AR75:AR78" si="71">+AN75+AP75-AQ75</f>
        <v>46.69</v>
      </c>
      <c r="AS75" s="91">
        <f t="shared" ref="AS75:AS78" si="72">+AO75+AQ75-AP75</f>
        <v>0</v>
      </c>
      <c r="AT75" s="68"/>
      <c r="AU75" s="68"/>
      <c r="AV75" s="68">
        <f t="shared" si="64"/>
        <v>46.69</v>
      </c>
      <c r="AW75" s="68"/>
      <c r="AX75" s="68"/>
      <c r="AY75" s="68"/>
      <c r="AZ75" s="68"/>
      <c r="BA75" s="68"/>
      <c r="BB75" s="68"/>
      <c r="BC75" s="68"/>
      <c r="BD75" s="68"/>
      <c r="BE75" s="68"/>
      <c r="BF75" s="31"/>
      <c r="BG75" s="32"/>
      <c r="BH75" s="50"/>
      <c r="BI75" s="32"/>
      <c r="BJ75" s="32"/>
      <c r="BK75" s="32"/>
      <c r="BL75" s="32"/>
      <c r="BM75" s="32"/>
      <c r="BN75" s="32"/>
      <c r="BO75" s="32"/>
      <c r="BP75" s="32"/>
      <c r="BQ75" s="32"/>
    </row>
    <row r="76" spans="1:69" ht="24" x14ac:dyDescent="0.55000000000000004">
      <c r="A76" s="61">
        <v>70</v>
      </c>
      <c r="B76" s="81" t="s">
        <v>155</v>
      </c>
      <c r="C76" s="67"/>
      <c r="D76" s="68"/>
      <c r="E76" s="68"/>
      <c r="F76" s="76"/>
      <c r="G76" s="68"/>
      <c r="H76" s="90"/>
      <c r="I76" s="91"/>
      <c r="J76" s="68"/>
      <c r="K76" s="68"/>
      <c r="L76" s="91"/>
      <c r="M76" s="91"/>
      <c r="N76" s="76"/>
      <c r="O76" s="76"/>
      <c r="P76" s="91"/>
      <c r="Q76" s="91"/>
      <c r="R76" s="60"/>
      <c r="S76" s="60"/>
      <c r="T76" s="91"/>
      <c r="U76" s="91"/>
      <c r="V76" s="60"/>
      <c r="W76" s="60"/>
      <c r="X76" s="91"/>
      <c r="Y76" s="91"/>
      <c r="Z76" s="60"/>
      <c r="AA76" s="60"/>
      <c r="AB76" s="91"/>
      <c r="AC76" s="91"/>
      <c r="AD76" s="68"/>
      <c r="AE76" s="68"/>
      <c r="AF76" s="91"/>
      <c r="AG76" s="91"/>
      <c r="AH76" s="68">
        <v>270</v>
      </c>
      <c r="AI76" s="68"/>
      <c r="AJ76" s="91">
        <f t="shared" si="62"/>
        <v>270</v>
      </c>
      <c r="AK76" s="91"/>
      <c r="AL76" s="68"/>
      <c r="AM76" s="68"/>
      <c r="AN76" s="91">
        <f t="shared" si="63"/>
        <v>270</v>
      </c>
      <c r="AO76" s="91"/>
      <c r="AP76" s="68"/>
      <c r="AQ76" s="68"/>
      <c r="AR76" s="90">
        <f t="shared" si="71"/>
        <v>270</v>
      </c>
      <c r="AS76" s="91">
        <f t="shared" si="72"/>
        <v>0</v>
      </c>
      <c r="AT76" s="68"/>
      <c r="AU76" s="68"/>
      <c r="AV76" s="68">
        <f>+AR76+AT76-AU76</f>
        <v>270</v>
      </c>
      <c r="AW76" s="68"/>
      <c r="AX76" s="68"/>
      <c r="AY76" s="68"/>
      <c r="AZ76" s="68"/>
      <c r="BA76" s="68"/>
      <c r="BB76" s="68"/>
      <c r="BC76" s="68"/>
      <c r="BD76" s="68"/>
      <c r="BE76" s="68"/>
      <c r="BF76" s="31"/>
      <c r="BG76" s="32"/>
      <c r="BH76" s="50"/>
      <c r="BI76" s="32"/>
      <c r="BJ76" s="32"/>
      <c r="BK76" s="32"/>
      <c r="BL76" s="32"/>
      <c r="BM76" s="32"/>
      <c r="BN76" s="32"/>
      <c r="BO76" s="32"/>
      <c r="BP76" s="32"/>
      <c r="BQ76" s="32"/>
    </row>
    <row r="77" spans="1:69" ht="24" x14ac:dyDescent="0.55000000000000004">
      <c r="A77" s="61">
        <v>71</v>
      </c>
      <c r="B77" s="81" t="s">
        <v>24</v>
      </c>
      <c r="C77" s="67">
        <v>333</v>
      </c>
      <c r="D77" s="68">
        <f>+'กระดาษทำการ 30 เม.ย.58'!BP76</f>
        <v>0</v>
      </c>
      <c r="E77" s="68">
        <f>+'กระดาษทำการ 30 เม.ย.58'!BQ76</f>
        <v>0</v>
      </c>
      <c r="F77" s="68">
        <v>200</v>
      </c>
      <c r="G77" s="68"/>
      <c r="H77" s="90">
        <f t="shared" si="70"/>
        <v>200</v>
      </c>
      <c r="I77" s="91"/>
      <c r="J77" s="68"/>
      <c r="K77" s="68"/>
      <c r="L77" s="91">
        <f t="shared" si="56"/>
        <v>200</v>
      </c>
      <c r="M77" s="91"/>
      <c r="N77" s="68"/>
      <c r="O77" s="68"/>
      <c r="P77" s="91">
        <f t="shared" si="57"/>
        <v>200</v>
      </c>
      <c r="Q77" s="91"/>
      <c r="R77" s="60">
        <v>110</v>
      </c>
      <c r="S77" s="60"/>
      <c r="T77" s="91">
        <f t="shared" si="58"/>
        <v>310</v>
      </c>
      <c r="U77" s="91"/>
      <c r="V77" s="60">
        <v>130</v>
      </c>
      <c r="W77" s="60"/>
      <c r="X77" s="91">
        <f t="shared" si="59"/>
        <v>440</v>
      </c>
      <c r="Y77" s="91"/>
      <c r="Z77" s="68"/>
      <c r="AA77" s="68"/>
      <c r="AB77" s="91">
        <f>+X77+Z77-AA77</f>
        <v>440</v>
      </c>
      <c r="AC77" s="91"/>
      <c r="AD77" s="68"/>
      <c r="AE77" s="68"/>
      <c r="AF77" s="91">
        <f t="shared" si="61"/>
        <v>440</v>
      </c>
      <c r="AG77" s="91"/>
      <c r="AH77" s="68">
        <f>30+300</f>
        <v>330</v>
      </c>
      <c r="AI77" s="68"/>
      <c r="AJ77" s="91">
        <f t="shared" si="62"/>
        <v>770</v>
      </c>
      <c r="AK77" s="91"/>
      <c r="AL77" s="68"/>
      <c r="AM77" s="68"/>
      <c r="AN77" s="91">
        <f t="shared" si="63"/>
        <v>770</v>
      </c>
      <c r="AO77" s="91"/>
      <c r="AP77" s="68"/>
      <c r="AQ77" s="68"/>
      <c r="AR77" s="90">
        <f t="shared" si="71"/>
        <v>770</v>
      </c>
      <c r="AS77" s="91">
        <f t="shared" si="72"/>
        <v>0</v>
      </c>
      <c r="AT77" s="60">
        <v>225</v>
      </c>
      <c r="AU77" s="68"/>
      <c r="AV77" s="68">
        <f t="shared" si="64"/>
        <v>995</v>
      </c>
      <c r="AW77" s="68"/>
      <c r="AX77" s="68"/>
      <c r="AY77" s="68"/>
      <c r="AZ77" s="68"/>
      <c r="BA77" s="68"/>
      <c r="BB77" s="68"/>
      <c r="BC77" s="68"/>
      <c r="BD77" s="68">
        <f t="shared" si="54"/>
        <v>0</v>
      </c>
      <c r="BE77" s="68"/>
      <c r="BF77" s="31"/>
      <c r="BG77" s="32"/>
      <c r="BH77" s="27"/>
      <c r="BI77" s="32"/>
      <c r="BJ77" s="32">
        <f t="shared" si="55"/>
        <v>0</v>
      </c>
      <c r="BK77" s="32">
        <f t="shared" si="46"/>
        <v>0</v>
      </c>
      <c r="BL77" s="32"/>
      <c r="BM77" s="32"/>
      <c r="BN77" s="32">
        <f t="shared" si="66"/>
        <v>0</v>
      </c>
      <c r="BO77" s="32"/>
      <c r="BP77" s="32"/>
      <c r="BQ77" s="32"/>
    </row>
    <row r="78" spans="1:69" x14ac:dyDescent="0.5">
      <c r="A78" s="61">
        <v>72</v>
      </c>
      <c r="B78" s="81" t="s">
        <v>16</v>
      </c>
      <c r="C78" s="67">
        <v>335</v>
      </c>
      <c r="D78" s="68">
        <f>+'กระดาษทำการ 30 เม.ย.58'!BP77</f>
        <v>0</v>
      </c>
      <c r="E78" s="68">
        <f>+'กระดาษทำการ 30 เม.ย.58'!BQ77</f>
        <v>0</v>
      </c>
      <c r="F78" s="68"/>
      <c r="G78" s="68"/>
      <c r="H78" s="90">
        <f t="shared" si="70"/>
        <v>0</v>
      </c>
      <c r="I78" s="91"/>
      <c r="J78" s="68"/>
      <c r="K78" s="68"/>
      <c r="L78" s="91">
        <f t="shared" si="56"/>
        <v>0</v>
      </c>
      <c r="M78" s="91"/>
      <c r="N78" s="68"/>
      <c r="O78" s="68"/>
      <c r="P78" s="91">
        <f>+L78+N78-O78</f>
        <v>0</v>
      </c>
      <c r="Q78" s="91"/>
      <c r="R78" s="68"/>
      <c r="S78" s="68"/>
      <c r="T78" s="91">
        <f t="shared" si="58"/>
        <v>0</v>
      </c>
      <c r="U78" s="91"/>
      <c r="V78" s="68"/>
      <c r="W78" s="68"/>
      <c r="X78" s="91">
        <f>+T78+V78-W78</f>
        <v>0</v>
      </c>
      <c r="Y78" s="91"/>
      <c r="Z78" s="68"/>
      <c r="AA78" s="68"/>
      <c r="AB78" s="91">
        <f t="shared" si="60"/>
        <v>0</v>
      </c>
      <c r="AC78" s="91"/>
      <c r="AD78" s="68"/>
      <c r="AE78" s="68"/>
      <c r="AF78" s="91">
        <f t="shared" si="61"/>
        <v>0</v>
      </c>
      <c r="AG78" s="91"/>
      <c r="AH78" s="68"/>
      <c r="AI78" s="68"/>
      <c r="AJ78" s="91">
        <f>+AF78+AH78-AI78</f>
        <v>0</v>
      </c>
      <c r="AK78" s="91"/>
      <c r="AL78" s="68"/>
      <c r="AM78" s="68"/>
      <c r="AN78" s="91">
        <f t="shared" si="63"/>
        <v>0</v>
      </c>
      <c r="AO78" s="91"/>
      <c r="AP78" s="68"/>
      <c r="AQ78" s="68"/>
      <c r="AR78" s="90">
        <f t="shared" si="71"/>
        <v>0</v>
      </c>
      <c r="AS78" s="91">
        <f t="shared" si="72"/>
        <v>0</v>
      </c>
      <c r="AT78" s="68"/>
      <c r="AU78" s="68"/>
      <c r="AV78" s="68">
        <f t="shared" si="64"/>
        <v>0</v>
      </c>
      <c r="AW78" s="68"/>
      <c r="AX78" s="68"/>
      <c r="AY78" s="68"/>
      <c r="AZ78" s="68"/>
      <c r="BA78" s="68"/>
      <c r="BB78" s="68"/>
      <c r="BC78" s="68"/>
      <c r="BD78" s="68">
        <f t="shared" si="54"/>
        <v>0</v>
      </c>
      <c r="BE78" s="68"/>
      <c r="BF78" s="31"/>
      <c r="BG78" s="32"/>
      <c r="BH78" s="27"/>
      <c r="BI78" s="32"/>
      <c r="BJ78" s="32">
        <f t="shared" si="55"/>
        <v>0</v>
      </c>
      <c r="BK78" s="32">
        <v>0</v>
      </c>
      <c r="BL78" s="32"/>
      <c r="BM78" s="32"/>
      <c r="BN78" s="32">
        <f t="shared" si="66"/>
        <v>0</v>
      </c>
      <c r="BO78" s="32"/>
      <c r="BP78" s="32"/>
      <c r="BQ78" s="32"/>
    </row>
    <row r="79" spans="1:69" x14ac:dyDescent="0.5">
      <c r="A79" s="61">
        <v>73</v>
      </c>
      <c r="B79" s="81" t="s">
        <v>128</v>
      </c>
      <c r="C79" s="67"/>
      <c r="D79" s="68">
        <f>+'กระดาษทำการ 30 เม.ย.58'!BP78</f>
        <v>0</v>
      </c>
      <c r="E79" s="68">
        <f>+'กระดาษทำการ 30 เม.ย.58'!BQ78</f>
        <v>0</v>
      </c>
      <c r="F79" s="68"/>
      <c r="G79" s="68"/>
      <c r="H79" s="90">
        <f t="shared" si="70"/>
        <v>0</v>
      </c>
      <c r="I79" s="91"/>
      <c r="J79" s="68"/>
      <c r="K79" s="68"/>
      <c r="L79" s="91">
        <f t="shared" ref="L79:L85" si="73">+H79+J79-K79</f>
        <v>0</v>
      </c>
      <c r="M79" s="91"/>
      <c r="N79" s="68"/>
      <c r="O79" s="68"/>
      <c r="P79" s="91">
        <f t="shared" si="57"/>
        <v>0</v>
      </c>
      <c r="Q79" s="91"/>
      <c r="R79" s="68"/>
      <c r="S79" s="68"/>
      <c r="T79" s="91">
        <f t="shared" si="58"/>
        <v>0</v>
      </c>
      <c r="U79" s="91"/>
      <c r="V79" s="68"/>
      <c r="W79" s="68"/>
      <c r="X79" s="91">
        <f t="shared" si="59"/>
        <v>0</v>
      </c>
      <c r="Y79" s="91"/>
      <c r="Z79" s="68"/>
      <c r="AA79" s="68"/>
      <c r="AB79" s="91">
        <f t="shared" si="60"/>
        <v>0</v>
      </c>
      <c r="AC79" s="91"/>
      <c r="AD79" s="68"/>
      <c r="AE79" s="68"/>
      <c r="AF79" s="91">
        <f t="shared" si="61"/>
        <v>0</v>
      </c>
      <c r="AG79" s="91"/>
      <c r="AH79" s="68"/>
      <c r="AI79" s="68"/>
      <c r="AJ79" s="91">
        <f t="shared" si="62"/>
        <v>0</v>
      </c>
      <c r="AK79" s="91"/>
      <c r="AL79" s="68"/>
      <c r="AM79" s="68"/>
      <c r="AN79" s="91">
        <f t="shared" si="63"/>
        <v>0</v>
      </c>
      <c r="AO79" s="91"/>
      <c r="AP79" s="68"/>
      <c r="AQ79" s="68"/>
      <c r="AR79" s="90">
        <f t="shared" ref="AR79:AR81" si="74">+AN79+AP79-AQ79</f>
        <v>0</v>
      </c>
      <c r="AS79" s="91">
        <f t="shared" ref="AS79:AS81" si="75">+AO79+AQ79-AP79</f>
        <v>0</v>
      </c>
      <c r="AT79" s="68"/>
      <c r="AU79" s="68"/>
      <c r="AV79" s="68">
        <f t="shared" si="64"/>
        <v>0</v>
      </c>
      <c r="AW79" s="68"/>
      <c r="AX79" s="68"/>
      <c r="AY79" s="68"/>
      <c r="AZ79" s="68"/>
      <c r="BA79" s="68"/>
      <c r="BB79" s="68"/>
      <c r="BC79" s="68"/>
      <c r="BD79" s="68">
        <f>D79+BB79-BC79</f>
        <v>0</v>
      </c>
      <c r="BE79" s="68"/>
      <c r="BF79" s="31">
        <v>20</v>
      </c>
      <c r="BG79" s="32">
        <v>66277</v>
      </c>
      <c r="BH79" s="27"/>
      <c r="BI79" s="32"/>
      <c r="BJ79" s="32">
        <f>BD79+BG79-BI79</f>
        <v>66277</v>
      </c>
      <c r="BK79" s="32">
        <v>0</v>
      </c>
      <c r="BL79" s="32"/>
      <c r="BM79" s="32"/>
      <c r="BN79" s="32">
        <f>BJ79</f>
        <v>66277</v>
      </c>
      <c r="BO79" s="32"/>
      <c r="BP79" s="32"/>
      <c r="BQ79" s="32"/>
    </row>
    <row r="80" spans="1:69" x14ac:dyDescent="0.5">
      <c r="A80" s="61">
        <v>74</v>
      </c>
      <c r="B80" s="81" t="s">
        <v>129</v>
      </c>
      <c r="C80" s="67"/>
      <c r="D80" s="68">
        <f>+'กระดาษทำการ 30 เม.ย.58'!BP79</f>
        <v>0</v>
      </c>
      <c r="E80" s="68">
        <f>+'กระดาษทำการ 30 เม.ย.58'!BQ79</f>
        <v>0</v>
      </c>
      <c r="F80" s="68"/>
      <c r="G80" s="68"/>
      <c r="H80" s="90">
        <f t="shared" si="70"/>
        <v>0</v>
      </c>
      <c r="I80" s="91"/>
      <c r="J80" s="68"/>
      <c r="K80" s="68"/>
      <c r="L80" s="91">
        <f t="shared" si="73"/>
        <v>0</v>
      </c>
      <c r="M80" s="91"/>
      <c r="N80" s="68"/>
      <c r="O80" s="68"/>
      <c r="P80" s="91">
        <f t="shared" si="57"/>
        <v>0</v>
      </c>
      <c r="Q80" s="91"/>
      <c r="R80" s="68"/>
      <c r="S80" s="68"/>
      <c r="T80" s="91">
        <f t="shared" si="58"/>
        <v>0</v>
      </c>
      <c r="U80" s="91"/>
      <c r="V80" s="68"/>
      <c r="W80" s="68"/>
      <c r="X80" s="91">
        <f t="shared" si="59"/>
        <v>0</v>
      </c>
      <c r="Y80" s="91"/>
      <c r="Z80" s="68"/>
      <c r="AA80" s="68"/>
      <c r="AB80" s="91">
        <f t="shared" si="60"/>
        <v>0</v>
      </c>
      <c r="AC80" s="91"/>
      <c r="AD80" s="68"/>
      <c r="AE80" s="68"/>
      <c r="AF80" s="91">
        <f t="shared" si="61"/>
        <v>0</v>
      </c>
      <c r="AG80" s="91"/>
      <c r="AH80" s="68"/>
      <c r="AI80" s="68"/>
      <c r="AJ80" s="91">
        <f t="shared" si="62"/>
        <v>0</v>
      </c>
      <c r="AK80" s="91"/>
      <c r="AL80" s="68"/>
      <c r="AM80" s="68"/>
      <c r="AN80" s="91">
        <f t="shared" si="63"/>
        <v>0</v>
      </c>
      <c r="AO80" s="91"/>
      <c r="AP80" s="68"/>
      <c r="AQ80" s="68"/>
      <c r="AR80" s="90">
        <f t="shared" si="74"/>
        <v>0</v>
      </c>
      <c r="AS80" s="91">
        <f t="shared" si="75"/>
        <v>0</v>
      </c>
      <c r="AT80" s="68"/>
      <c r="AU80" s="68"/>
      <c r="AV80" s="68">
        <f t="shared" si="64"/>
        <v>0</v>
      </c>
      <c r="AW80" s="68"/>
      <c r="AX80" s="68"/>
      <c r="AY80" s="68"/>
      <c r="AZ80" s="68"/>
      <c r="BA80" s="68"/>
      <c r="BB80" s="68"/>
      <c r="BC80" s="68"/>
      <c r="BD80" s="68">
        <f>D80+BB80-BC80</f>
        <v>0</v>
      </c>
      <c r="BE80" s="68"/>
      <c r="BF80" s="31">
        <v>19</v>
      </c>
      <c r="BG80" s="32">
        <v>5962.31</v>
      </c>
      <c r="BH80" s="27"/>
      <c r="BI80" s="32"/>
      <c r="BJ80" s="32">
        <f>BD80+BG80-BI80</f>
        <v>5962.31</v>
      </c>
      <c r="BK80" s="32">
        <v>0</v>
      </c>
      <c r="BL80" s="32"/>
      <c r="BM80" s="32"/>
      <c r="BN80" s="32">
        <f>BJ80</f>
        <v>5962.31</v>
      </c>
      <c r="BO80" s="32"/>
      <c r="BP80" s="32"/>
      <c r="BQ80" s="32"/>
    </row>
    <row r="81" spans="1:69" x14ac:dyDescent="0.5">
      <c r="A81" s="61">
        <v>75</v>
      </c>
      <c r="B81" s="81" t="s">
        <v>130</v>
      </c>
      <c r="C81" s="67"/>
      <c r="D81" s="68">
        <f>+'กระดาษทำการ 30 เม.ย.58'!BP80</f>
        <v>0</v>
      </c>
      <c r="E81" s="68">
        <f>+'กระดาษทำการ 30 เม.ย.58'!BQ80</f>
        <v>0</v>
      </c>
      <c r="F81" s="68"/>
      <c r="G81" s="68"/>
      <c r="H81" s="90">
        <f t="shared" si="70"/>
        <v>0</v>
      </c>
      <c r="I81" s="91"/>
      <c r="J81" s="68"/>
      <c r="K81" s="68"/>
      <c r="L81" s="91">
        <f t="shared" si="73"/>
        <v>0</v>
      </c>
      <c r="M81" s="91"/>
      <c r="N81" s="68"/>
      <c r="O81" s="68"/>
      <c r="P81" s="91">
        <f t="shared" si="57"/>
        <v>0</v>
      </c>
      <c r="Q81" s="91"/>
      <c r="R81" s="68"/>
      <c r="S81" s="68"/>
      <c r="T81" s="91">
        <f>+P81+R81-S81</f>
        <v>0</v>
      </c>
      <c r="U81" s="91"/>
      <c r="V81" s="68"/>
      <c r="W81" s="68"/>
      <c r="X81" s="91">
        <f>+T81+V81-W81</f>
        <v>0</v>
      </c>
      <c r="Y81" s="91"/>
      <c r="Z81" s="68"/>
      <c r="AA81" s="68"/>
      <c r="AB81" s="91">
        <f t="shared" si="60"/>
        <v>0</v>
      </c>
      <c r="AC81" s="91"/>
      <c r="AD81" s="68"/>
      <c r="AE81" s="68"/>
      <c r="AF81" s="91">
        <f>+AB81+AD81-AE81</f>
        <v>0</v>
      </c>
      <c r="AG81" s="91"/>
      <c r="AH81" s="68"/>
      <c r="AI81" s="68"/>
      <c r="AJ81" s="91">
        <f t="shared" si="62"/>
        <v>0</v>
      </c>
      <c r="AK81" s="91"/>
      <c r="AL81" s="68"/>
      <c r="AM81" s="68"/>
      <c r="AN81" s="91">
        <f t="shared" si="63"/>
        <v>0</v>
      </c>
      <c r="AO81" s="91"/>
      <c r="AP81" s="68"/>
      <c r="AQ81" s="68"/>
      <c r="AR81" s="90">
        <f t="shared" si="74"/>
        <v>0</v>
      </c>
      <c r="AS81" s="91">
        <f t="shared" si="75"/>
        <v>0</v>
      </c>
      <c r="AT81" s="68"/>
      <c r="AU81" s="68"/>
      <c r="AV81" s="68">
        <f t="shared" si="64"/>
        <v>0</v>
      </c>
      <c r="AW81" s="68"/>
      <c r="AX81" s="68"/>
      <c r="AY81" s="68"/>
      <c r="AZ81" s="68"/>
      <c r="BA81" s="68"/>
      <c r="BB81" s="68"/>
      <c r="BC81" s="68"/>
      <c r="BD81" s="68">
        <f>D81+BB81-BC81</f>
        <v>0</v>
      </c>
      <c r="BE81" s="68"/>
      <c r="BF81" s="31">
        <v>21</v>
      </c>
      <c r="BG81" s="32">
        <v>135892</v>
      </c>
      <c r="BH81" s="27"/>
      <c r="BI81" s="32"/>
      <c r="BJ81" s="32">
        <f>BD81+BG81-BI81</f>
        <v>135892</v>
      </c>
      <c r="BK81" s="32">
        <v>0</v>
      </c>
      <c r="BL81" s="32"/>
      <c r="BM81" s="32"/>
      <c r="BN81" s="32">
        <v>135892</v>
      </c>
      <c r="BO81" s="32"/>
      <c r="BP81" s="32"/>
      <c r="BQ81" s="32"/>
    </row>
    <row r="82" spans="1:69" x14ac:dyDescent="0.5">
      <c r="A82" s="61">
        <v>76</v>
      </c>
      <c r="B82" s="81" t="s">
        <v>131</v>
      </c>
      <c r="C82" s="67"/>
      <c r="D82" s="68">
        <f>+'กระดาษทำการ 30 เม.ย.58'!BP81</f>
        <v>0</v>
      </c>
      <c r="E82" s="68">
        <f>+'กระดาษทำการ 30 เม.ย.58'!BQ81</f>
        <v>0</v>
      </c>
      <c r="F82" s="68"/>
      <c r="G82" s="68"/>
      <c r="H82" s="90">
        <f t="shared" si="70"/>
        <v>0</v>
      </c>
      <c r="I82" s="91"/>
      <c r="J82" s="68"/>
      <c r="K82" s="68"/>
      <c r="L82" s="91">
        <f t="shared" si="73"/>
        <v>0</v>
      </c>
      <c r="M82" s="91"/>
      <c r="N82" s="68"/>
      <c r="O82" s="68"/>
      <c r="P82" s="91">
        <f>+L82+N82-O82</f>
        <v>0</v>
      </c>
      <c r="Q82" s="91"/>
      <c r="R82" s="68"/>
      <c r="S82" s="68"/>
      <c r="T82" s="91">
        <f t="shared" si="58"/>
        <v>0</v>
      </c>
      <c r="U82" s="91"/>
      <c r="V82" s="68"/>
      <c r="W82" s="68"/>
      <c r="X82" s="91">
        <f t="shared" si="59"/>
        <v>0</v>
      </c>
      <c r="Y82" s="91"/>
      <c r="Z82" s="68"/>
      <c r="AA82" s="68"/>
      <c r="AB82" s="91">
        <f t="shared" si="60"/>
        <v>0</v>
      </c>
      <c r="AC82" s="91"/>
      <c r="AD82" s="68"/>
      <c r="AE82" s="68"/>
      <c r="AF82" s="91">
        <f t="shared" si="61"/>
        <v>0</v>
      </c>
      <c r="AG82" s="91"/>
      <c r="AH82" s="68"/>
      <c r="AI82" s="68"/>
      <c r="AJ82" s="91">
        <f t="shared" si="62"/>
        <v>0</v>
      </c>
      <c r="AK82" s="91"/>
      <c r="AL82" s="68"/>
      <c r="AM82" s="68"/>
      <c r="AN82" s="91">
        <f t="shared" si="63"/>
        <v>0</v>
      </c>
      <c r="AO82" s="91"/>
      <c r="AP82" s="68"/>
      <c r="AQ82" s="68"/>
      <c r="AR82" s="90">
        <f t="shared" ref="AR82:AR87" si="76">+AN82+AP82-AQ82</f>
        <v>0</v>
      </c>
      <c r="AS82" s="91">
        <f t="shared" ref="AS82:AS87" si="77">+AO82+AQ82-AP82</f>
        <v>0</v>
      </c>
      <c r="AT82" s="68"/>
      <c r="AU82" s="68"/>
      <c r="AV82" s="68">
        <f>+AR82+AT82-AU82</f>
        <v>0</v>
      </c>
      <c r="AW82" s="68"/>
      <c r="AX82" s="68"/>
      <c r="AY82" s="68"/>
      <c r="AZ82" s="68"/>
      <c r="BA82" s="68"/>
      <c r="BB82" s="68"/>
      <c r="BC82" s="68"/>
      <c r="BD82" s="68">
        <f>D82+BB82-BC82</f>
        <v>0</v>
      </c>
      <c r="BE82" s="68"/>
      <c r="BF82" s="31">
        <v>18</v>
      </c>
      <c r="BG82" s="32">
        <v>13912.04</v>
      </c>
      <c r="BH82" s="27"/>
      <c r="BI82" s="32"/>
      <c r="BJ82" s="32">
        <f>BD82+BG82-BI82</f>
        <v>13912.04</v>
      </c>
      <c r="BK82" s="32">
        <v>0</v>
      </c>
      <c r="BL82" s="32"/>
      <c r="BM82" s="32"/>
      <c r="BN82" s="32">
        <v>13912.04</v>
      </c>
      <c r="BO82" s="32"/>
      <c r="BP82" s="32"/>
      <c r="BQ82" s="32"/>
    </row>
    <row r="83" spans="1:69" ht="24" x14ac:dyDescent="0.55000000000000004">
      <c r="A83" s="61">
        <v>77</v>
      </c>
      <c r="B83" s="81" t="s">
        <v>25</v>
      </c>
      <c r="C83" s="67">
        <v>339</v>
      </c>
      <c r="D83" s="68">
        <f>+'กระดาษทำการ 30 เม.ย.58'!BP82</f>
        <v>0</v>
      </c>
      <c r="E83" s="68">
        <f>+'กระดาษทำการ 30 เม.ย.58'!BQ82</f>
        <v>0</v>
      </c>
      <c r="F83" s="68">
        <v>7001.5</v>
      </c>
      <c r="G83" s="68"/>
      <c r="H83" s="90">
        <f t="shared" si="70"/>
        <v>7001.5</v>
      </c>
      <c r="I83" s="91"/>
      <c r="J83" s="68"/>
      <c r="K83" s="68"/>
      <c r="L83" s="91">
        <f t="shared" si="73"/>
        <v>7001.5</v>
      </c>
      <c r="M83" s="91"/>
      <c r="N83" s="76">
        <f>7001.5+7001.5</f>
        <v>14003</v>
      </c>
      <c r="O83" s="76"/>
      <c r="P83" s="91">
        <f t="shared" si="57"/>
        <v>21004.5</v>
      </c>
      <c r="Q83" s="91"/>
      <c r="R83" s="60">
        <v>7001.5</v>
      </c>
      <c r="S83" s="60"/>
      <c r="T83" s="91">
        <f t="shared" si="58"/>
        <v>28006</v>
      </c>
      <c r="U83" s="91"/>
      <c r="V83" s="60">
        <v>7001.5</v>
      </c>
      <c r="W83" s="60"/>
      <c r="X83" s="91">
        <f t="shared" si="59"/>
        <v>35007.5</v>
      </c>
      <c r="Y83" s="91"/>
      <c r="Z83" s="60">
        <v>7001.5</v>
      </c>
      <c r="AA83" s="60"/>
      <c r="AB83" s="91">
        <f t="shared" si="60"/>
        <v>42009</v>
      </c>
      <c r="AC83" s="91"/>
      <c r="AD83" s="68"/>
      <c r="AE83" s="68"/>
      <c r="AF83" s="91">
        <f t="shared" si="61"/>
        <v>42009</v>
      </c>
      <c r="AG83" s="91"/>
      <c r="AH83" s="68"/>
      <c r="AI83" s="68"/>
      <c r="AJ83" s="91">
        <f t="shared" si="62"/>
        <v>42009</v>
      </c>
      <c r="AK83" s="91"/>
      <c r="AL83" s="68"/>
      <c r="AM83" s="68"/>
      <c r="AN83" s="91">
        <f t="shared" si="63"/>
        <v>42009</v>
      </c>
      <c r="AO83" s="91"/>
      <c r="AP83" s="68"/>
      <c r="AQ83" s="68"/>
      <c r="AR83" s="90">
        <f t="shared" si="76"/>
        <v>42009</v>
      </c>
      <c r="AS83" s="91">
        <f t="shared" si="77"/>
        <v>0</v>
      </c>
      <c r="AT83" s="60">
        <v>11280</v>
      </c>
      <c r="AU83" s="68"/>
      <c r="AV83" s="68">
        <f t="shared" ref="AV83:AV98" si="78">+AR83+AT83-AU83</f>
        <v>53289</v>
      </c>
      <c r="AW83" s="68"/>
      <c r="AX83" s="68"/>
      <c r="AY83" s="68"/>
      <c r="AZ83" s="68"/>
      <c r="BA83" s="68"/>
      <c r="BB83" s="68"/>
      <c r="BC83" s="68"/>
      <c r="BD83" s="68">
        <f t="shared" si="54"/>
        <v>0</v>
      </c>
      <c r="BE83" s="68"/>
      <c r="BF83" s="31"/>
      <c r="BG83" s="32"/>
      <c r="BH83" s="50" t="s">
        <v>106</v>
      </c>
      <c r="BI83" s="32">
        <f>21004.5+14003</f>
        <v>35007.5</v>
      </c>
      <c r="BJ83" s="32">
        <f t="shared" si="55"/>
        <v>-35007.5</v>
      </c>
      <c r="BK83" s="32"/>
      <c r="BL83" s="32"/>
      <c r="BM83" s="32"/>
      <c r="BN83" s="32">
        <f t="shared" si="66"/>
        <v>-35007.5</v>
      </c>
      <c r="BO83" s="32"/>
      <c r="BP83" s="32"/>
      <c r="BQ83" s="32"/>
    </row>
    <row r="84" spans="1:69" ht="24" x14ac:dyDescent="0.55000000000000004">
      <c r="A84" s="61">
        <v>78</v>
      </c>
      <c r="B84" s="81" t="s">
        <v>153</v>
      </c>
      <c r="C84" s="67"/>
      <c r="D84" s="68"/>
      <c r="E84" s="68"/>
      <c r="F84" s="68"/>
      <c r="G84" s="68"/>
      <c r="H84" s="90"/>
      <c r="I84" s="91"/>
      <c r="J84" s="68"/>
      <c r="K84" s="68"/>
      <c r="L84" s="91"/>
      <c r="M84" s="91"/>
      <c r="N84" s="76"/>
      <c r="O84" s="76"/>
      <c r="P84" s="91"/>
      <c r="Q84" s="91"/>
      <c r="R84" s="60"/>
      <c r="S84" s="60"/>
      <c r="T84" s="91"/>
      <c r="U84" s="91"/>
      <c r="V84" s="60"/>
      <c r="W84" s="60"/>
      <c r="X84" s="91"/>
      <c r="Y84" s="91"/>
      <c r="Z84" s="60"/>
      <c r="AA84" s="60"/>
      <c r="AB84" s="91"/>
      <c r="AC84" s="91"/>
      <c r="AD84" s="68">
        <v>11200</v>
      </c>
      <c r="AE84" s="68"/>
      <c r="AF84" s="91">
        <f t="shared" si="61"/>
        <v>11200</v>
      </c>
      <c r="AG84" s="91"/>
      <c r="AH84" s="68"/>
      <c r="AI84" s="68"/>
      <c r="AJ84" s="91">
        <f t="shared" si="62"/>
        <v>11200</v>
      </c>
      <c r="AK84" s="91"/>
      <c r="AL84" s="68"/>
      <c r="AM84" s="68"/>
      <c r="AN84" s="91">
        <f t="shared" si="63"/>
        <v>11200</v>
      </c>
      <c r="AO84" s="91"/>
      <c r="AP84" s="68"/>
      <c r="AQ84" s="68"/>
      <c r="AR84" s="90">
        <f t="shared" si="76"/>
        <v>11200</v>
      </c>
      <c r="AS84" s="91">
        <f t="shared" si="77"/>
        <v>0</v>
      </c>
      <c r="AT84" s="68"/>
      <c r="AU84" s="68"/>
      <c r="AV84" s="68">
        <f t="shared" si="78"/>
        <v>11200</v>
      </c>
      <c r="AW84" s="68"/>
      <c r="AX84" s="68"/>
      <c r="AY84" s="68"/>
      <c r="AZ84" s="68"/>
      <c r="BA84" s="68"/>
      <c r="BB84" s="68"/>
      <c r="BC84" s="68"/>
      <c r="BD84" s="68"/>
      <c r="BE84" s="68"/>
      <c r="BF84" s="31"/>
      <c r="BG84" s="32"/>
      <c r="BH84" s="50"/>
      <c r="BI84" s="32"/>
      <c r="BJ84" s="32"/>
      <c r="BK84" s="32"/>
      <c r="BL84" s="32"/>
      <c r="BM84" s="32"/>
      <c r="BN84" s="32"/>
      <c r="BO84" s="32"/>
      <c r="BP84" s="32"/>
      <c r="BQ84" s="32"/>
    </row>
    <row r="85" spans="1:69" x14ac:dyDescent="0.5">
      <c r="A85" s="67">
        <v>79</v>
      </c>
      <c r="B85" s="81" t="s">
        <v>86</v>
      </c>
      <c r="C85" s="67">
        <v>285</v>
      </c>
      <c r="D85" s="68">
        <f>+'กระดาษทำการ 30 เม.ย.58'!BP83</f>
        <v>0</v>
      </c>
      <c r="E85" s="68">
        <f>+'กระดาษทำการ 30 เม.ย.58'!BQ83</f>
        <v>0</v>
      </c>
      <c r="F85" s="68"/>
      <c r="G85" s="68"/>
      <c r="H85" s="91">
        <f t="shared" si="70"/>
        <v>0</v>
      </c>
      <c r="I85" s="91"/>
      <c r="J85" s="68"/>
      <c r="K85" s="68"/>
      <c r="L85" s="91">
        <f t="shared" si="73"/>
        <v>0</v>
      </c>
      <c r="M85" s="91"/>
      <c r="N85" s="68"/>
      <c r="O85" s="68"/>
      <c r="P85" s="91">
        <f>+L85+N85-O85</f>
        <v>0</v>
      </c>
      <c r="Q85" s="91"/>
      <c r="R85" s="68"/>
      <c r="S85" s="68"/>
      <c r="T85" s="91">
        <f t="shared" si="58"/>
        <v>0</v>
      </c>
      <c r="U85" s="91"/>
      <c r="V85" s="68"/>
      <c r="W85" s="68"/>
      <c r="X85" s="91">
        <f t="shared" si="59"/>
        <v>0</v>
      </c>
      <c r="Y85" s="91"/>
      <c r="Z85" s="68"/>
      <c r="AA85" s="68"/>
      <c r="AB85" s="91">
        <f t="shared" si="60"/>
        <v>0</v>
      </c>
      <c r="AC85" s="91"/>
      <c r="AD85" s="68"/>
      <c r="AE85" s="68"/>
      <c r="AF85" s="91">
        <f t="shared" si="61"/>
        <v>0</v>
      </c>
      <c r="AG85" s="91"/>
      <c r="AH85" s="68"/>
      <c r="AI85" s="68"/>
      <c r="AJ85" s="91">
        <f t="shared" si="62"/>
        <v>0</v>
      </c>
      <c r="AK85" s="91"/>
      <c r="AL85" s="68"/>
      <c r="AM85" s="68"/>
      <c r="AN85" s="91">
        <f t="shared" si="63"/>
        <v>0</v>
      </c>
      <c r="AO85" s="91"/>
      <c r="AP85" s="68"/>
      <c r="AQ85" s="68"/>
      <c r="AR85" s="91">
        <f t="shared" si="76"/>
        <v>0</v>
      </c>
      <c r="AS85" s="91">
        <f t="shared" si="77"/>
        <v>0</v>
      </c>
      <c r="AT85" s="68"/>
      <c r="AU85" s="68"/>
      <c r="AV85" s="68">
        <f t="shared" si="78"/>
        <v>0</v>
      </c>
      <c r="AW85" s="68"/>
      <c r="AX85" s="68"/>
      <c r="AY85" s="68"/>
      <c r="AZ85" s="68"/>
      <c r="BA85" s="68"/>
      <c r="BB85" s="68"/>
      <c r="BC85" s="68"/>
      <c r="BD85" s="68">
        <f t="shared" si="54"/>
        <v>0</v>
      </c>
      <c r="BE85" s="68"/>
      <c r="BF85" s="31"/>
      <c r="BG85" s="32"/>
      <c r="BH85" s="27"/>
      <c r="BI85" s="32"/>
      <c r="BJ85" s="32">
        <f t="shared" si="55"/>
        <v>0</v>
      </c>
      <c r="BK85" s="32"/>
      <c r="BL85" s="32"/>
      <c r="BM85" s="32"/>
      <c r="BN85" s="32">
        <f t="shared" si="66"/>
        <v>0</v>
      </c>
      <c r="BO85" s="32"/>
      <c r="BP85" s="32"/>
      <c r="BQ85" s="32"/>
    </row>
    <row r="86" spans="1:69" x14ac:dyDescent="0.5">
      <c r="A86" s="61">
        <v>80</v>
      </c>
      <c r="B86" s="81" t="s">
        <v>97</v>
      </c>
      <c r="C86" s="67">
        <v>215</v>
      </c>
      <c r="D86" s="68">
        <f>+'กระดาษทำการ 30 เม.ย.58'!BP84</f>
        <v>0</v>
      </c>
      <c r="E86" s="68">
        <f>+'กระดาษทำการ 30 เม.ย.58'!BQ84</f>
        <v>0</v>
      </c>
      <c r="F86" s="68"/>
      <c r="G86" s="68"/>
      <c r="H86" s="90">
        <f t="shared" si="70"/>
        <v>0</v>
      </c>
      <c r="I86" s="91"/>
      <c r="J86" s="68"/>
      <c r="K86" s="68"/>
      <c r="L86" s="91">
        <f t="shared" ref="L86:L92" si="79">+H86+J86-K86</f>
        <v>0</v>
      </c>
      <c r="M86" s="91"/>
      <c r="N86" s="76">
        <v>200</v>
      </c>
      <c r="O86" s="76"/>
      <c r="P86" s="91">
        <f t="shared" si="57"/>
        <v>200</v>
      </c>
      <c r="Q86" s="91"/>
      <c r="R86" s="68"/>
      <c r="S86" s="68"/>
      <c r="T86" s="91">
        <f>+P86+R86-S86</f>
        <v>200</v>
      </c>
      <c r="U86" s="91"/>
      <c r="V86" s="68"/>
      <c r="W86" s="68"/>
      <c r="X86" s="91">
        <f>+T86+V86-W86</f>
        <v>200</v>
      </c>
      <c r="Y86" s="91"/>
      <c r="Z86" s="68"/>
      <c r="AA86" s="68"/>
      <c r="AB86" s="91">
        <f t="shared" si="60"/>
        <v>200</v>
      </c>
      <c r="AC86" s="91"/>
      <c r="AD86" s="68"/>
      <c r="AE86" s="68"/>
      <c r="AF86" s="91">
        <f t="shared" si="61"/>
        <v>200</v>
      </c>
      <c r="AG86" s="91"/>
      <c r="AH86" s="68"/>
      <c r="AI86" s="68"/>
      <c r="AJ86" s="91">
        <f>+AF86+AH86-AI86</f>
        <v>200</v>
      </c>
      <c r="AK86" s="91"/>
      <c r="AL86" s="68"/>
      <c r="AM86" s="68"/>
      <c r="AN86" s="91">
        <f t="shared" si="63"/>
        <v>200</v>
      </c>
      <c r="AO86" s="91"/>
      <c r="AP86" s="68"/>
      <c r="AQ86" s="68"/>
      <c r="AR86" s="90">
        <f t="shared" si="76"/>
        <v>200</v>
      </c>
      <c r="AS86" s="91">
        <f t="shared" si="77"/>
        <v>0</v>
      </c>
      <c r="AT86" s="68"/>
      <c r="AU86" s="68"/>
      <c r="AV86" s="68">
        <f t="shared" si="78"/>
        <v>200</v>
      </c>
      <c r="AW86" s="68"/>
      <c r="AX86" s="68"/>
      <c r="AY86" s="68"/>
      <c r="AZ86" s="68"/>
      <c r="BA86" s="68"/>
      <c r="BB86" s="68"/>
      <c r="BC86" s="68"/>
      <c r="BD86" s="68">
        <f t="shared" si="54"/>
        <v>0</v>
      </c>
      <c r="BE86" s="68"/>
      <c r="BF86" s="31"/>
      <c r="BG86" s="32"/>
      <c r="BH86" s="27"/>
      <c r="BI86" s="32"/>
      <c r="BJ86" s="32">
        <f t="shared" si="55"/>
        <v>0</v>
      </c>
      <c r="BK86" s="32"/>
      <c r="BL86" s="32"/>
      <c r="BM86" s="32"/>
      <c r="BN86" s="32">
        <f t="shared" si="66"/>
        <v>0</v>
      </c>
      <c r="BO86" s="32"/>
      <c r="BP86" s="32"/>
      <c r="BQ86" s="32"/>
    </row>
    <row r="87" spans="1:69" x14ac:dyDescent="0.5">
      <c r="A87" s="61">
        <v>81</v>
      </c>
      <c r="B87" s="81" t="s">
        <v>87</v>
      </c>
      <c r="C87" s="67">
        <v>321</v>
      </c>
      <c r="D87" s="68">
        <f>+'กระดาษทำการ 30 เม.ย.58'!BP85</f>
        <v>0</v>
      </c>
      <c r="E87" s="68">
        <f>+'กระดาษทำการ 30 เม.ย.58'!BQ85</f>
        <v>0</v>
      </c>
      <c r="F87" s="68"/>
      <c r="G87" s="68"/>
      <c r="H87" s="90">
        <f t="shared" si="70"/>
        <v>0</v>
      </c>
      <c r="I87" s="91"/>
      <c r="J87" s="68"/>
      <c r="K87" s="68"/>
      <c r="L87" s="91">
        <f t="shared" si="79"/>
        <v>0</v>
      </c>
      <c r="M87" s="91"/>
      <c r="N87" s="68"/>
      <c r="O87" s="68"/>
      <c r="P87" s="91">
        <f t="shared" si="57"/>
        <v>0</v>
      </c>
      <c r="Q87" s="91"/>
      <c r="R87" s="68"/>
      <c r="S87" s="68"/>
      <c r="T87" s="91">
        <f t="shared" si="58"/>
        <v>0</v>
      </c>
      <c r="U87" s="91"/>
      <c r="V87" s="68"/>
      <c r="W87" s="68"/>
      <c r="X87" s="91">
        <f t="shared" si="59"/>
        <v>0</v>
      </c>
      <c r="Y87" s="91"/>
      <c r="Z87" s="68"/>
      <c r="AA87" s="68"/>
      <c r="AB87" s="91">
        <f t="shared" si="60"/>
        <v>0</v>
      </c>
      <c r="AC87" s="91"/>
      <c r="AD87" s="68"/>
      <c r="AE87" s="68"/>
      <c r="AF87" s="91">
        <f t="shared" si="61"/>
        <v>0</v>
      </c>
      <c r="AG87" s="91"/>
      <c r="AH87" s="68"/>
      <c r="AI87" s="68"/>
      <c r="AJ87" s="91">
        <f t="shared" si="62"/>
        <v>0</v>
      </c>
      <c r="AK87" s="91"/>
      <c r="AL87" s="68"/>
      <c r="AM87" s="68"/>
      <c r="AN87" s="91">
        <f t="shared" si="63"/>
        <v>0</v>
      </c>
      <c r="AO87" s="91"/>
      <c r="AP87" s="68"/>
      <c r="AQ87" s="68"/>
      <c r="AR87" s="90">
        <f t="shared" si="76"/>
        <v>0</v>
      </c>
      <c r="AS87" s="91">
        <f t="shared" si="77"/>
        <v>0</v>
      </c>
      <c r="AT87" s="68"/>
      <c r="AU87" s="68"/>
      <c r="AV87" s="68">
        <f t="shared" si="78"/>
        <v>0</v>
      </c>
      <c r="AW87" s="68"/>
      <c r="AX87" s="68"/>
      <c r="AY87" s="68"/>
      <c r="AZ87" s="68"/>
      <c r="BA87" s="68"/>
      <c r="BB87" s="68"/>
      <c r="BC87" s="68"/>
      <c r="BD87" s="68">
        <f t="shared" si="54"/>
        <v>0</v>
      </c>
      <c r="BE87" s="68"/>
      <c r="BF87" s="31"/>
      <c r="BG87" s="32"/>
      <c r="BH87" s="27"/>
      <c r="BI87" s="32"/>
      <c r="BJ87" s="32">
        <f t="shared" si="55"/>
        <v>0</v>
      </c>
      <c r="BK87" s="32"/>
      <c r="BL87" s="32">
        <f>BJ87</f>
        <v>0</v>
      </c>
      <c r="BM87" s="32"/>
      <c r="BN87" s="32"/>
      <c r="BO87" s="32"/>
      <c r="BP87" s="32"/>
      <c r="BQ87" s="32"/>
    </row>
    <row r="88" spans="1:69" x14ac:dyDescent="0.5">
      <c r="A88" s="61">
        <v>82</v>
      </c>
      <c r="B88" s="81" t="s">
        <v>85</v>
      </c>
      <c r="C88" s="67">
        <v>349</v>
      </c>
      <c r="D88" s="68">
        <f>+'กระดาษทำการ 30 เม.ย.58'!BP86</f>
        <v>0</v>
      </c>
      <c r="E88" s="68">
        <f>+'กระดาษทำการ 30 เม.ย.58'!BQ86</f>
        <v>0</v>
      </c>
      <c r="F88" s="68">
        <v>500</v>
      </c>
      <c r="G88" s="68"/>
      <c r="H88" s="90">
        <f t="shared" si="70"/>
        <v>500</v>
      </c>
      <c r="I88" s="91"/>
      <c r="J88" s="68"/>
      <c r="K88" s="68"/>
      <c r="L88" s="91">
        <f t="shared" si="79"/>
        <v>500</v>
      </c>
      <c r="M88" s="91"/>
      <c r="N88" s="68"/>
      <c r="O88" s="68"/>
      <c r="P88" s="91">
        <f t="shared" si="57"/>
        <v>500</v>
      </c>
      <c r="Q88" s="91"/>
      <c r="R88" s="68"/>
      <c r="S88" s="68"/>
      <c r="T88" s="91">
        <f t="shared" si="58"/>
        <v>500</v>
      </c>
      <c r="U88" s="91"/>
      <c r="V88" s="68"/>
      <c r="W88" s="68"/>
      <c r="X88" s="91">
        <f t="shared" si="59"/>
        <v>500</v>
      </c>
      <c r="Y88" s="91"/>
      <c r="Z88" s="68">
        <v>300</v>
      </c>
      <c r="AA88" s="68"/>
      <c r="AB88" s="91">
        <f>+X88+Z88-AA88</f>
        <v>800</v>
      </c>
      <c r="AC88" s="91"/>
      <c r="AD88" s="68"/>
      <c r="AE88" s="68"/>
      <c r="AF88" s="91">
        <f t="shared" si="61"/>
        <v>800</v>
      </c>
      <c r="AG88" s="91"/>
      <c r="AH88" s="68"/>
      <c r="AI88" s="68"/>
      <c r="AJ88" s="91">
        <f t="shared" si="62"/>
        <v>800</v>
      </c>
      <c r="AK88" s="91"/>
      <c r="AL88" s="68"/>
      <c r="AM88" s="68"/>
      <c r="AN88" s="91">
        <f t="shared" si="63"/>
        <v>800</v>
      </c>
      <c r="AO88" s="91"/>
      <c r="AP88" s="68"/>
      <c r="AQ88" s="68"/>
      <c r="AR88" s="90">
        <f t="shared" ref="AR88:AR98" si="80">+AN88+AP88-AQ88</f>
        <v>800</v>
      </c>
      <c r="AS88" s="91">
        <f t="shared" ref="AS88:AS98" si="81">+AO88+AQ88-AP88</f>
        <v>0</v>
      </c>
      <c r="AT88" s="68"/>
      <c r="AU88" s="68"/>
      <c r="AV88" s="68">
        <f t="shared" si="78"/>
        <v>800</v>
      </c>
      <c r="AW88" s="68"/>
      <c r="AX88" s="68"/>
      <c r="AY88" s="68"/>
      <c r="AZ88" s="68"/>
      <c r="BA88" s="68"/>
      <c r="BB88" s="68"/>
      <c r="BC88" s="68"/>
      <c r="BD88" s="68">
        <f t="shared" si="54"/>
        <v>0</v>
      </c>
      <c r="BE88" s="68"/>
      <c r="BF88" s="31"/>
      <c r="BG88" s="32"/>
      <c r="BH88" s="27"/>
      <c r="BI88" s="32"/>
      <c r="BJ88" s="32">
        <f t="shared" si="55"/>
        <v>0</v>
      </c>
      <c r="BK88" s="32"/>
      <c r="BL88" s="32"/>
      <c r="BM88" s="32"/>
      <c r="BN88" s="32">
        <f t="shared" si="66"/>
        <v>0</v>
      </c>
      <c r="BO88" s="32"/>
      <c r="BP88" s="32"/>
      <c r="BQ88" s="32"/>
    </row>
    <row r="89" spans="1:69" x14ac:dyDescent="0.5">
      <c r="A89" s="61">
        <v>83</v>
      </c>
      <c r="B89" s="81" t="s">
        <v>151</v>
      </c>
      <c r="C89" s="67"/>
      <c r="D89" s="68"/>
      <c r="E89" s="68"/>
      <c r="F89" s="68">
        <v>1000</v>
      </c>
      <c r="G89" s="68"/>
      <c r="H89" s="90">
        <f t="shared" si="70"/>
        <v>1000</v>
      </c>
      <c r="I89" s="91"/>
      <c r="J89" s="68"/>
      <c r="K89" s="68"/>
      <c r="L89" s="91">
        <f t="shared" si="79"/>
        <v>1000</v>
      </c>
      <c r="M89" s="91"/>
      <c r="N89" s="68"/>
      <c r="O89" s="68"/>
      <c r="P89" s="91">
        <f t="shared" si="57"/>
        <v>1000</v>
      </c>
      <c r="Q89" s="91"/>
      <c r="R89" s="68"/>
      <c r="S89" s="68"/>
      <c r="T89" s="91">
        <f t="shared" si="58"/>
        <v>1000</v>
      </c>
      <c r="U89" s="91"/>
      <c r="V89" s="68"/>
      <c r="W89" s="68"/>
      <c r="X89" s="91">
        <f t="shared" si="59"/>
        <v>1000</v>
      </c>
      <c r="Y89" s="91"/>
      <c r="Z89" s="68"/>
      <c r="AA89" s="68"/>
      <c r="AB89" s="91">
        <f t="shared" si="60"/>
        <v>1000</v>
      </c>
      <c r="AC89" s="91"/>
      <c r="AD89" s="68"/>
      <c r="AE89" s="68"/>
      <c r="AF89" s="91">
        <f t="shared" si="61"/>
        <v>1000</v>
      </c>
      <c r="AG89" s="91"/>
      <c r="AH89" s="68">
        <v>300</v>
      </c>
      <c r="AI89" s="68"/>
      <c r="AJ89" s="91">
        <f t="shared" si="62"/>
        <v>1300</v>
      </c>
      <c r="AK89" s="91"/>
      <c r="AL89" s="68"/>
      <c r="AM89" s="68"/>
      <c r="AN89" s="91">
        <f t="shared" si="63"/>
        <v>1300</v>
      </c>
      <c r="AO89" s="91"/>
      <c r="AP89" s="68"/>
      <c r="AQ89" s="68"/>
      <c r="AR89" s="90">
        <f t="shared" si="80"/>
        <v>1300</v>
      </c>
      <c r="AS89" s="91">
        <f t="shared" si="81"/>
        <v>0</v>
      </c>
      <c r="AT89" s="68">
        <v>100</v>
      </c>
      <c r="AU89" s="68"/>
      <c r="AV89" s="68">
        <f t="shared" si="78"/>
        <v>1400</v>
      </c>
      <c r="AW89" s="68"/>
      <c r="AX89" s="68"/>
      <c r="AY89" s="68"/>
      <c r="AZ89" s="68"/>
      <c r="BA89" s="68"/>
      <c r="BB89" s="68"/>
      <c r="BC89" s="68"/>
      <c r="BD89" s="68"/>
      <c r="BE89" s="68"/>
      <c r="BF89" s="31"/>
      <c r="BG89" s="32"/>
      <c r="BH89" s="27"/>
      <c r="BI89" s="32"/>
      <c r="BJ89" s="32"/>
      <c r="BK89" s="32"/>
      <c r="BL89" s="32"/>
      <c r="BM89" s="32"/>
      <c r="BN89" s="32"/>
      <c r="BO89" s="32"/>
      <c r="BP89" s="32"/>
      <c r="BQ89" s="32"/>
    </row>
    <row r="90" spans="1:69" x14ac:dyDescent="0.5">
      <c r="A90" s="61">
        <v>84</v>
      </c>
      <c r="B90" s="81" t="s">
        <v>92</v>
      </c>
      <c r="C90" s="67"/>
      <c r="D90" s="68">
        <f>+'กระดาษทำการ 30 เม.ย.58'!BP87</f>
        <v>0</v>
      </c>
      <c r="E90" s="68">
        <f>+'กระดาษทำการ 30 เม.ย.58'!BQ87</f>
        <v>0</v>
      </c>
      <c r="F90" s="68"/>
      <c r="G90" s="68"/>
      <c r="H90" s="90">
        <f t="shared" si="70"/>
        <v>0</v>
      </c>
      <c r="I90" s="91"/>
      <c r="J90" s="68"/>
      <c r="K90" s="68"/>
      <c r="L90" s="91">
        <f>+H90+J90-K90</f>
        <v>0</v>
      </c>
      <c r="M90" s="91"/>
      <c r="N90" s="68"/>
      <c r="O90" s="68"/>
      <c r="P90" s="91">
        <f>+L90+N90-O90</f>
        <v>0</v>
      </c>
      <c r="Q90" s="91"/>
      <c r="R90" s="68"/>
      <c r="S90" s="68"/>
      <c r="T90" s="91">
        <f t="shared" si="58"/>
        <v>0</v>
      </c>
      <c r="U90" s="91"/>
      <c r="V90" s="68"/>
      <c r="W90" s="68"/>
      <c r="X90" s="91">
        <f t="shared" ref="X90:X98" si="82">+T90+V90-W90</f>
        <v>0</v>
      </c>
      <c r="Y90" s="91"/>
      <c r="Z90" s="68"/>
      <c r="AA90" s="68"/>
      <c r="AB90" s="91">
        <f t="shared" si="60"/>
        <v>0</v>
      </c>
      <c r="AC90" s="91"/>
      <c r="AD90" s="68"/>
      <c r="AE90" s="68"/>
      <c r="AF90" s="91">
        <f t="shared" si="61"/>
        <v>0</v>
      </c>
      <c r="AG90" s="91"/>
      <c r="AH90" s="68"/>
      <c r="AI90" s="68"/>
      <c r="AJ90" s="91">
        <f>+AF90+AH90-AI90</f>
        <v>0</v>
      </c>
      <c r="AK90" s="91"/>
      <c r="AL90" s="68"/>
      <c r="AM90" s="68"/>
      <c r="AN90" s="91">
        <f t="shared" si="63"/>
        <v>0</v>
      </c>
      <c r="AO90" s="91"/>
      <c r="AP90" s="68"/>
      <c r="AQ90" s="68"/>
      <c r="AR90" s="90">
        <f t="shared" si="80"/>
        <v>0</v>
      </c>
      <c r="AS90" s="91">
        <f t="shared" si="81"/>
        <v>0</v>
      </c>
      <c r="AT90" s="68"/>
      <c r="AU90" s="68"/>
      <c r="AV90" s="68">
        <f t="shared" si="78"/>
        <v>0</v>
      </c>
      <c r="AW90" s="68"/>
      <c r="AX90" s="68"/>
      <c r="AY90" s="68"/>
      <c r="AZ90" s="68"/>
      <c r="BA90" s="68"/>
      <c r="BB90" s="68"/>
      <c r="BC90" s="68"/>
      <c r="BD90" s="68">
        <f>D90+BB90-BC90</f>
        <v>0</v>
      </c>
      <c r="BE90" s="68"/>
      <c r="BF90" s="31"/>
      <c r="BG90" s="32"/>
      <c r="BH90" s="27">
        <v>9</v>
      </c>
      <c r="BI90" s="32">
        <v>91565.73</v>
      </c>
      <c r="BJ90" s="32"/>
      <c r="BK90" s="32">
        <f>BI90</f>
        <v>91565.73</v>
      </c>
      <c r="BL90" s="32"/>
      <c r="BM90" s="32"/>
      <c r="BN90" s="32">
        <f>BJ90</f>
        <v>0</v>
      </c>
      <c r="BO90" s="32">
        <f>BK90</f>
        <v>91565.73</v>
      </c>
      <c r="BP90" s="32"/>
      <c r="BQ90" s="32"/>
    </row>
    <row r="91" spans="1:69" x14ac:dyDescent="0.5">
      <c r="A91" s="61">
        <v>85</v>
      </c>
      <c r="B91" s="81" t="s">
        <v>89</v>
      </c>
      <c r="C91" s="67"/>
      <c r="D91" s="68">
        <f>+'กระดาษทำการ 30 เม.ย.58'!BP88</f>
        <v>0</v>
      </c>
      <c r="E91" s="68">
        <f>+'กระดาษทำการ 30 เม.ย.58'!BQ88</f>
        <v>0</v>
      </c>
      <c r="F91" s="68"/>
      <c r="G91" s="68"/>
      <c r="H91" s="90">
        <f t="shared" si="70"/>
        <v>0</v>
      </c>
      <c r="I91" s="91"/>
      <c r="J91" s="68"/>
      <c r="K91" s="68"/>
      <c r="L91" s="91">
        <f t="shared" si="79"/>
        <v>0</v>
      </c>
      <c r="M91" s="91"/>
      <c r="N91" s="68"/>
      <c r="O91" s="68"/>
      <c r="P91" s="91">
        <f t="shared" si="57"/>
        <v>0</v>
      </c>
      <c r="Q91" s="91"/>
      <c r="R91" s="68"/>
      <c r="S91" s="68"/>
      <c r="T91" s="91">
        <f t="shared" si="58"/>
        <v>0</v>
      </c>
      <c r="U91" s="91"/>
      <c r="V91" s="68"/>
      <c r="W91" s="68"/>
      <c r="X91" s="91">
        <f t="shared" si="82"/>
        <v>0</v>
      </c>
      <c r="Y91" s="91"/>
      <c r="Z91" s="68"/>
      <c r="AA91" s="68"/>
      <c r="AB91" s="91">
        <f t="shared" si="60"/>
        <v>0</v>
      </c>
      <c r="AC91" s="91"/>
      <c r="AD91" s="68"/>
      <c r="AE91" s="68"/>
      <c r="AF91" s="91">
        <f t="shared" si="61"/>
        <v>0</v>
      </c>
      <c r="AG91" s="91"/>
      <c r="AH91" s="68"/>
      <c r="AI91" s="68"/>
      <c r="AJ91" s="91">
        <f t="shared" si="62"/>
        <v>0</v>
      </c>
      <c r="AK91" s="91"/>
      <c r="AL91" s="68"/>
      <c r="AM91" s="68"/>
      <c r="AN91" s="91">
        <f t="shared" si="63"/>
        <v>0</v>
      </c>
      <c r="AO91" s="91"/>
      <c r="AP91" s="68"/>
      <c r="AQ91" s="68"/>
      <c r="AR91" s="90">
        <f t="shared" si="80"/>
        <v>0</v>
      </c>
      <c r="AS91" s="91">
        <f t="shared" si="81"/>
        <v>0</v>
      </c>
      <c r="AT91" s="68"/>
      <c r="AU91" s="68"/>
      <c r="AV91" s="68">
        <f t="shared" si="78"/>
        <v>0</v>
      </c>
      <c r="AW91" s="68"/>
      <c r="AX91" s="68"/>
      <c r="AY91" s="68"/>
      <c r="AZ91" s="68"/>
      <c r="BA91" s="68"/>
      <c r="BB91" s="68"/>
      <c r="BC91" s="68"/>
      <c r="BD91" s="68">
        <f t="shared" si="54"/>
        <v>0</v>
      </c>
      <c r="BE91" s="68"/>
      <c r="BF91" s="31"/>
      <c r="BG91" s="32"/>
      <c r="BH91" s="27">
        <v>3</v>
      </c>
      <c r="BI91" s="32">
        <v>36171.5</v>
      </c>
      <c r="BJ91" s="32"/>
      <c r="BK91" s="32">
        <f>BI91</f>
        <v>36171.5</v>
      </c>
      <c r="BL91" s="32"/>
      <c r="BM91" s="32"/>
      <c r="BN91" s="32">
        <f>BJ91</f>
        <v>0</v>
      </c>
      <c r="BO91" s="32">
        <f>BK91</f>
        <v>36171.5</v>
      </c>
      <c r="BP91" s="32"/>
      <c r="BQ91" s="32"/>
    </row>
    <row r="92" spans="1:69" x14ac:dyDescent="0.5">
      <c r="A92" s="61">
        <v>86</v>
      </c>
      <c r="B92" s="81" t="s">
        <v>90</v>
      </c>
      <c r="C92" s="67"/>
      <c r="D92" s="68">
        <f>+'กระดาษทำการ 30 เม.ย.58'!BP89</f>
        <v>0</v>
      </c>
      <c r="E92" s="68">
        <f>+'กระดาษทำการ 30 เม.ย.58'!BQ89</f>
        <v>0</v>
      </c>
      <c r="F92" s="68"/>
      <c r="G92" s="68"/>
      <c r="H92" s="90">
        <f t="shared" si="70"/>
        <v>0</v>
      </c>
      <c r="I92" s="91"/>
      <c r="J92" s="68"/>
      <c r="K92" s="68"/>
      <c r="L92" s="91">
        <f t="shared" si="79"/>
        <v>0</v>
      </c>
      <c r="M92" s="91"/>
      <c r="N92" s="68"/>
      <c r="O92" s="68"/>
      <c r="P92" s="91">
        <f t="shared" si="57"/>
        <v>0</v>
      </c>
      <c r="Q92" s="91"/>
      <c r="R92" s="68"/>
      <c r="S92" s="68"/>
      <c r="T92" s="91">
        <f>+P92+R92-S92</f>
        <v>0</v>
      </c>
      <c r="U92" s="91"/>
      <c r="V92" s="68"/>
      <c r="W92" s="68"/>
      <c r="X92" s="91">
        <f t="shared" si="82"/>
        <v>0</v>
      </c>
      <c r="Y92" s="91"/>
      <c r="Z92" s="68"/>
      <c r="AA92" s="68"/>
      <c r="AB92" s="91">
        <f t="shared" si="60"/>
        <v>0</v>
      </c>
      <c r="AC92" s="91"/>
      <c r="AD92" s="68"/>
      <c r="AE92" s="68"/>
      <c r="AF92" s="91">
        <f t="shared" si="61"/>
        <v>0</v>
      </c>
      <c r="AG92" s="91"/>
      <c r="AH92" s="68"/>
      <c r="AI92" s="68"/>
      <c r="AJ92" s="91">
        <f t="shared" si="62"/>
        <v>0</v>
      </c>
      <c r="AK92" s="91"/>
      <c r="AL92" s="68"/>
      <c r="AM92" s="68"/>
      <c r="AN92" s="91">
        <f t="shared" si="63"/>
        <v>0</v>
      </c>
      <c r="AO92" s="91"/>
      <c r="AP92" s="68"/>
      <c r="AQ92" s="68"/>
      <c r="AR92" s="90">
        <f t="shared" si="80"/>
        <v>0</v>
      </c>
      <c r="AS92" s="91">
        <f t="shared" si="81"/>
        <v>0</v>
      </c>
      <c r="AT92" s="68"/>
      <c r="AU92" s="68"/>
      <c r="AV92" s="68">
        <f t="shared" si="78"/>
        <v>0</v>
      </c>
      <c r="AW92" s="68"/>
      <c r="AX92" s="68"/>
      <c r="AY92" s="68"/>
      <c r="AZ92" s="68"/>
      <c r="BA92" s="68"/>
      <c r="BB92" s="68"/>
      <c r="BC92" s="68"/>
      <c r="BD92" s="68"/>
      <c r="BE92" s="68"/>
      <c r="BF92" s="31"/>
      <c r="BG92" s="32"/>
      <c r="BH92" s="27">
        <v>10</v>
      </c>
      <c r="BI92" s="32">
        <f>82916.1</f>
        <v>82916.100000000006</v>
      </c>
      <c r="BJ92" s="32"/>
      <c r="BK92" s="32">
        <f>BI92</f>
        <v>82916.100000000006</v>
      </c>
      <c r="BL92" s="32"/>
      <c r="BM92" s="32"/>
      <c r="BN92" s="32"/>
      <c r="BO92" s="32">
        <f>BK92</f>
        <v>82916.100000000006</v>
      </c>
      <c r="BP92" s="32"/>
      <c r="BQ92" s="32"/>
    </row>
    <row r="93" spans="1:69" x14ac:dyDescent="0.5">
      <c r="A93" s="61">
        <v>87</v>
      </c>
      <c r="B93" s="81" t="s">
        <v>91</v>
      </c>
      <c r="C93" s="67"/>
      <c r="D93" s="68">
        <f>+'กระดาษทำการ 30 เม.ย.58'!BP90</f>
        <v>0</v>
      </c>
      <c r="E93" s="68">
        <f>+'กระดาษทำการ 30 เม.ย.58'!BQ90</f>
        <v>0</v>
      </c>
      <c r="F93" s="68"/>
      <c r="G93" s="68"/>
      <c r="H93" s="90">
        <f t="shared" si="70"/>
        <v>0</v>
      </c>
      <c r="I93" s="91"/>
      <c r="J93" s="68"/>
      <c r="K93" s="68"/>
      <c r="L93" s="91">
        <f>+H93+J93-K93</f>
        <v>0</v>
      </c>
      <c r="M93" s="91"/>
      <c r="N93" s="68"/>
      <c r="O93" s="68"/>
      <c r="P93" s="91">
        <f t="shared" si="57"/>
        <v>0</v>
      </c>
      <c r="Q93" s="91"/>
      <c r="R93" s="68"/>
      <c r="S93" s="68"/>
      <c r="T93" s="91">
        <f t="shared" si="58"/>
        <v>0</v>
      </c>
      <c r="U93" s="91"/>
      <c r="V93" s="68"/>
      <c r="W93" s="68"/>
      <c r="X93" s="91">
        <f t="shared" si="82"/>
        <v>0</v>
      </c>
      <c r="Y93" s="91"/>
      <c r="Z93" s="68"/>
      <c r="AA93" s="68"/>
      <c r="AB93" s="91">
        <f t="shared" si="60"/>
        <v>0</v>
      </c>
      <c r="AC93" s="91"/>
      <c r="AD93" s="68"/>
      <c r="AE93" s="68"/>
      <c r="AF93" s="91">
        <f t="shared" si="61"/>
        <v>0</v>
      </c>
      <c r="AG93" s="91"/>
      <c r="AH93" s="68"/>
      <c r="AI93" s="68"/>
      <c r="AJ93" s="91">
        <f t="shared" si="62"/>
        <v>0</v>
      </c>
      <c r="AK93" s="91"/>
      <c r="AL93" s="68"/>
      <c r="AM93" s="68"/>
      <c r="AN93" s="91">
        <f t="shared" si="63"/>
        <v>0</v>
      </c>
      <c r="AO93" s="91"/>
      <c r="AP93" s="68"/>
      <c r="AQ93" s="68"/>
      <c r="AR93" s="90">
        <f t="shared" si="80"/>
        <v>0</v>
      </c>
      <c r="AS93" s="91">
        <f t="shared" si="81"/>
        <v>0</v>
      </c>
      <c r="AT93" s="68"/>
      <c r="AU93" s="68"/>
      <c r="AV93" s="68">
        <f t="shared" si="78"/>
        <v>0</v>
      </c>
      <c r="AW93" s="68"/>
      <c r="AX93" s="68"/>
      <c r="AY93" s="68"/>
      <c r="AZ93" s="68"/>
      <c r="BA93" s="68"/>
      <c r="BB93" s="68"/>
      <c r="BC93" s="68"/>
      <c r="BD93" s="68"/>
      <c r="BE93" s="68"/>
      <c r="BF93" s="31"/>
      <c r="BG93" s="32"/>
      <c r="BH93" s="27">
        <v>11</v>
      </c>
      <c r="BI93" s="32">
        <v>20533.11</v>
      </c>
      <c r="BJ93" s="32"/>
      <c r="BK93" s="32">
        <f>BI93</f>
        <v>20533.11</v>
      </c>
      <c r="BL93" s="32"/>
      <c r="BM93" s="32"/>
      <c r="BN93" s="32"/>
      <c r="BO93" s="32">
        <f>BK93</f>
        <v>20533.11</v>
      </c>
      <c r="BP93" s="32"/>
      <c r="BQ93" s="32"/>
    </row>
    <row r="94" spans="1:69" x14ac:dyDescent="0.5">
      <c r="A94" s="67">
        <v>88</v>
      </c>
      <c r="B94" s="81" t="s">
        <v>76</v>
      </c>
      <c r="C94" s="67"/>
      <c r="D94" s="68">
        <f>+'กระดาษทำการ 30 เม.ย.58'!BP91</f>
        <v>0</v>
      </c>
      <c r="E94" s="68">
        <f>+'กระดาษทำการ 30 เม.ย.58'!BQ91</f>
        <v>0</v>
      </c>
      <c r="F94" s="68"/>
      <c r="G94" s="68"/>
      <c r="H94" s="91">
        <f t="shared" si="70"/>
        <v>0</v>
      </c>
      <c r="I94" s="91"/>
      <c r="J94" s="68"/>
      <c r="K94" s="68"/>
      <c r="L94" s="91">
        <f>+H94+J94-K94</f>
        <v>0</v>
      </c>
      <c r="M94" s="91"/>
      <c r="N94" s="68"/>
      <c r="O94" s="68"/>
      <c r="P94" s="91">
        <f t="shared" si="57"/>
        <v>0</v>
      </c>
      <c r="Q94" s="91"/>
      <c r="R94" s="68"/>
      <c r="S94" s="68"/>
      <c r="T94" s="91">
        <f t="shared" si="58"/>
        <v>0</v>
      </c>
      <c r="U94" s="91"/>
      <c r="V94" s="68"/>
      <c r="W94" s="68"/>
      <c r="X94" s="91">
        <f t="shared" si="82"/>
        <v>0</v>
      </c>
      <c r="Y94" s="91"/>
      <c r="Z94" s="68"/>
      <c r="AA94" s="68"/>
      <c r="AB94" s="91">
        <f t="shared" si="60"/>
        <v>0</v>
      </c>
      <c r="AC94" s="91"/>
      <c r="AD94" s="68"/>
      <c r="AE94" s="68"/>
      <c r="AF94" s="91">
        <f t="shared" si="61"/>
        <v>0</v>
      </c>
      <c r="AG94" s="91"/>
      <c r="AH94" s="68"/>
      <c r="AI94" s="68"/>
      <c r="AJ94" s="91">
        <f t="shared" si="62"/>
        <v>0</v>
      </c>
      <c r="AK94" s="91"/>
      <c r="AL94" s="68"/>
      <c r="AM94" s="68"/>
      <c r="AN94" s="91">
        <f t="shared" si="63"/>
        <v>0</v>
      </c>
      <c r="AO94" s="91"/>
      <c r="AP94" s="68"/>
      <c r="AQ94" s="68"/>
      <c r="AR94" s="91">
        <f t="shared" si="80"/>
        <v>0</v>
      </c>
      <c r="AS94" s="91">
        <f t="shared" si="81"/>
        <v>0</v>
      </c>
      <c r="AT94" s="68"/>
      <c r="AU94" s="68"/>
      <c r="AV94" s="68">
        <f t="shared" si="78"/>
        <v>0</v>
      </c>
      <c r="AW94" s="68"/>
      <c r="AX94" s="69"/>
      <c r="AY94" s="68"/>
      <c r="AZ94" s="68"/>
      <c r="BA94" s="68"/>
      <c r="BB94" s="68"/>
      <c r="BC94" s="68"/>
      <c r="BD94" s="68">
        <f t="shared" si="54"/>
        <v>0</v>
      </c>
      <c r="BE94" s="68"/>
      <c r="BF94" s="31">
        <v>4</v>
      </c>
      <c r="BG94" s="32">
        <v>7412</v>
      </c>
      <c r="BH94" s="27"/>
      <c r="BI94" s="32"/>
      <c r="BJ94" s="32">
        <f t="shared" si="55"/>
        <v>7412</v>
      </c>
      <c r="BK94" s="32"/>
      <c r="BL94" s="32"/>
      <c r="BM94" s="32"/>
      <c r="BN94" s="32">
        <f>BJ94</f>
        <v>7412</v>
      </c>
      <c r="BO94" s="32"/>
      <c r="BP94" s="32"/>
      <c r="BQ94" s="32"/>
    </row>
    <row r="95" spans="1:69" x14ac:dyDescent="0.5">
      <c r="A95" s="61">
        <v>89</v>
      </c>
      <c r="B95" s="81" t="s">
        <v>94</v>
      </c>
      <c r="C95" s="67"/>
      <c r="D95" s="68">
        <f>+'กระดาษทำการ 30 เม.ย.58'!BP92</f>
        <v>0</v>
      </c>
      <c r="E95" s="68">
        <f>+'กระดาษทำการ 30 เม.ย.58'!BQ92</f>
        <v>0</v>
      </c>
      <c r="F95" s="68"/>
      <c r="G95" s="68"/>
      <c r="H95" s="91">
        <f t="shared" si="70"/>
        <v>0</v>
      </c>
      <c r="I95" s="91"/>
      <c r="J95" s="68"/>
      <c r="K95" s="68"/>
      <c r="L95" s="91">
        <f>+H95+J95-K95</f>
        <v>0</v>
      </c>
      <c r="M95" s="91"/>
      <c r="N95" s="68"/>
      <c r="O95" s="68"/>
      <c r="P95" s="91">
        <f>+L95+N95-O95</f>
        <v>0</v>
      </c>
      <c r="Q95" s="91"/>
      <c r="R95" s="68"/>
      <c r="S95" s="68"/>
      <c r="T95" s="91">
        <f t="shared" si="58"/>
        <v>0</v>
      </c>
      <c r="U95" s="91"/>
      <c r="V95" s="68"/>
      <c r="W95" s="68"/>
      <c r="X95" s="91">
        <f t="shared" si="82"/>
        <v>0</v>
      </c>
      <c r="Y95" s="91"/>
      <c r="Z95" s="68"/>
      <c r="AA95" s="68"/>
      <c r="AB95" s="91">
        <f>+X95+Z95-AA95</f>
        <v>0</v>
      </c>
      <c r="AC95" s="91"/>
      <c r="AD95" s="68"/>
      <c r="AE95" s="68"/>
      <c r="AF95" s="91">
        <f t="shared" si="61"/>
        <v>0</v>
      </c>
      <c r="AG95" s="91"/>
      <c r="AH95" s="68"/>
      <c r="AI95" s="68"/>
      <c r="AJ95" s="91">
        <f t="shared" si="62"/>
        <v>0</v>
      </c>
      <c r="AK95" s="91"/>
      <c r="AL95" s="68"/>
      <c r="AM95" s="68"/>
      <c r="AN95" s="91">
        <f t="shared" si="63"/>
        <v>0</v>
      </c>
      <c r="AO95" s="91"/>
      <c r="AP95" s="68"/>
      <c r="AQ95" s="68"/>
      <c r="AR95" s="90">
        <f t="shared" si="80"/>
        <v>0</v>
      </c>
      <c r="AS95" s="91">
        <f t="shared" si="81"/>
        <v>0</v>
      </c>
      <c r="AT95" s="68"/>
      <c r="AU95" s="68"/>
      <c r="AV95" s="68">
        <f t="shared" si="78"/>
        <v>0</v>
      </c>
      <c r="AW95" s="68"/>
      <c r="AX95" s="69"/>
      <c r="AY95" s="68"/>
      <c r="AZ95" s="68"/>
      <c r="BA95" s="68"/>
      <c r="BB95" s="68"/>
      <c r="BC95" s="68"/>
      <c r="BD95" s="68"/>
      <c r="BE95" s="68"/>
      <c r="BF95" s="31"/>
      <c r="BG95" s="32"/>
      <c r="BH95" s="27">
        <v>13</v>
      </c>
      <c r="BI95" s="32">
        <v>2978</v>
      </c>
      <c r="BJ95" s="32"/>
      <c r="BK95" s="32">
        <f>BI95</f>
        <v>2978</v>
      </c>
      <c r="BL95" s="32"/>
      <c r="BM95" s="32"/>
      <c r="BN95" s="32"/>
      <c r="BO95" s="32">
        <f>BI95</f>
        <v>2978</v>
      </c>
      <c r="BP95" s="32"/>
      <c r="BQ95" s="32"/>
    </row>
    <row r="96" spans="1:69" ht="18" customHeight="1" x14ac:dyDescent="0.5">
      <c r="A96" s="61">
        <v>90</v>
      </c>
      <c r="B96" s="81" t="s">
        <v>138</v>
      </c>
      <c r="C96" s="67"/>
      <c r="D96" s="68">
        <f>+'กระดาษทำการ 30 เม.ย.58'!BP93</f>
        <v>6703</v>
      </c>
      <c r="E96" s="68">
        <f>+'กระดาษทำการ 30 เม.ย.58'!BQ93</f>
        <v>0</v>
      </c>
      <c r="F96" s="68"/>
      <c r="G96" s="68"/>
      <c r="H96" s="90">
        <f t="shared" si="70"/>
        <v>6703</v>
      </c>
      <c r="I96" s="91"/>
      <c r="J96" s="68"/>
      <c r="K96" s="68"/>
      <c r="L96" s="91">
        <f>+H96+J96-K96</f>
        <v>6703</v>
      </c>
      <c r="M96" s="91"/>
      <c r="N96" s="68"/>
      <c r="O96" s="68"/>
      <c r="P96" s="91">
        <f t="shared" si="57"/>
        <v>6703</v>
      </c>
      <c r="Q96" s="91"/>
      <c r="R96" s="68"/>
      <c r="S96" s="68"/>
      <c r="T96" s="91">
        <f t="shared" si="58"/>
        <v>6703</v>
      </c>
      <c r="U96" s="91"/>
      <c r="V96" s="68"/>
      <c r="W96" s="68"/>
      <c r="X96" s="91">
        <f t="shared" si="82"/>
        <v>6703</v>
      </c>
      <c r="Y96" s="91"/>
      <c r="Z96" s="68"/>
      <c r="AA96" s="68"/>
      <c r="AB96" s="91">
        <f t="shared" si="60"/>
        <v>6703</v>
      </c>
      <c r="AC96" s="91"/>
      <c r="AD96" s="68"/>
      <c r="AE96" s="68"/>
      <c r="AF96" s="91">
        <f t="shared" si="61"/>
        <v>6703</v>
      </c>
      <c r="AG96" s="91"/>
      <c r="AH96" s="68"/>
      <c r="AI96" s="68"/>
      <c r="AJ96" s="91">
        <f t="shared" si="62"/>
        <v>6703</v>
      </c>
      <c r="AK96" s="91"/>
      <c r="AL96" s="68"/>
      <c r="AM96" s="68"/>
      <c r="AN96" s="91">
        <f t="shared" si="63"/>
        <v>6703</v>
      </c>
      <c r="AO96" s="91"/>
      <c r="AP96" s="68"/>
      <c r="AQ96" s="68"/>
      <c r="AR96" s="90">
        <f t="shared" si="80"/>
        <v>6703</v>
      </c>
      <c r="AS96" s="91">
        <f t="shared" si="81"/>
        <v>0</v>
      </c>
      <c r="AT96" s="68"/>
      <c r="AU96" s="68"/>
      <c r="AV96" s="68">
        <f t="shared" si="78"/>
        <v>6703</v>
      </c>
      <c r="AW96" s="68"/>
      <c r="AX96" s="68"/>
      <c r="AY96" s="68"/>
      <c r="AZ96" s="68"/>
      <c r="BA96" s="68"/>
      <c r="BB96" s="68"/>
      <c r="BC96" s="68"/>
      <c r="BD96" s="68">
        <f t="shared" si="54"/>
        <v>6703</v>
      </c>
      <c r="BE96" s="68"/>
      <c r="BF96" s="31"/>
      <c r="BG96" s="32"/>
      <c r="BH96" s="27"/>
      <c r="BI96" s="32"/>
      <c r="BJ96" s="32">
        <f t="shared" si="55"/>
        <v>6703</v>
      </c>
      <c r="BK96" s="32"/>
      <c r="BL96" s="32"/>
      <c r="BM96" s="51">
        <v>6703</v>
      </c>
      <c r="BN96" s="32"/>
      <c r="BO96" s="32"/>
      <c r="BP96" s="32">
        <f>+BM96</f>
        <v>6703</v>
      </c>
      <c r="BQ96" s="32"/>
    </row>
    <row r="97" spans="1:70" x14ac:dyDescent="0.5">
      <c r="A97" s="61">
        <v>91</v>
      </c>
      <c r="B97" s="81" t="s">
        <v>11</v>
      </c>
      <c r="C97" s="67"/>
      <c r="D97" s="68">
        <f>+'กระดาษทำการ 30 เม.ย.58'!BP94</f>
        <v>0</v>
      </c>
      <c r="E97" s="68">
        <f>+'กระดาษทำการ 30 เม.ย.58'!BQ94</f>
        <v>0</v>
      </c>
      <c r="F97" s="68"/>
      <c r="G97" s="68"/>
      <c r="H97" s="90">
        <f t="shared" si="70"/>
        <v>0</v>
      </c>
      <c r="I97" s="91"/>
      <c r="J97" s="68"/>
      <c r="K97" s="68"/>
      <c r="L97" s="91">
        <f>+H97+J97-K97</f>
        <v>0</v>
      </c>
      <c r="M97" s="91"/>
      <c r="N97" s="68"/>
      <c r="O97" s="68"/>
      <c r="P97" s="91">
        <f t="shared" si="57"/>
        <v>0</v>
      </c>
      <c r="Q97" s="91"/>
      <c r="R97" s="68"/>
      <c r="S97" s="68"/>
      <c r="T97" s="91">
        <f t="shared" si="58"/>
        <v>0</v>
      </c>
      <c r="U97" s="91"/>
      <c r="V97" s="68"/>
      <c r="W97" s="68"/>
      <c r="X97" s="91">
        <f t="shared" si="82"/>
        <v>0</v>
      </c>
      <c r="Y97" s="91"/>
      <c r="Z97" s="68"/>
      <c r="AA97" s="68"/>
      <c r="AB97" s="91">
        <f t="shared" si="60"/>
        <v>0</v>
      </c>
      <c r="AC97" s="91"/>
      <c r="AD97" s="68"/>
      <c r="AE97" s="68"/>
      <c r="AF97" s="91">
        <f t="shared" si="61"/>
        <v>0</v>
      </c>
      <c r="AG97" s="91"/>
      <c r="AH97" s="68"/>
      <c r="AI97" s="68"/>
      <c r="AJ97" s="91">
        <f>+AF97+AH97-AI97</f>
        <v>0</v>
      </c>
      <c r="AK97" s="91"/>
      <c r="AL97" s="68"/>
      <c r="AM97" s="68"/>
      <c r="AN97" s="91">
        <f t="shared" si="63"/>
        <v>0</v>
      </c>
      <c r="AO97" s="91"/>
      <c r="AP97" s="68"/>
      <c r="AQ97" s="68"/>
      <c r="AR97" s="90">
        <f t="shared" si="80"/>
        <v>0</v>
      </c>
      <c r="AS97" s="91">
        <f t="shared" si="81"/>
        <v>0</v>
      </c>
      <c r="AT97" s="68"/>
      <c r="AU97" s="68"/>
      <c r="AV97" s="68">
        <f t="shared" si="78"/>
        <v>0</v>
      </c>
      <c r="AW97" s="68"/>
      <c r="AX97" s="68"/>
      <c r="AY97" s="68"/>
      <c r="AZ97" s="68"/>
      <c r="BA97" s="68"/>
      <c r="BB97" s="68"/>
      <c r="BC97" s="68"/>
      <c r="BD97" s="68"/>
      <c r="BE97" s="68"/>
      <c r="BF97" s="31"/>
      <c r="BG97" s="32"/>
      <c r="BH97" s="27"/>
      <c r="BI97" s="32"/>
      <c r="BJ97" s="32"/>
      <c r="BK97" s="32"/>
      <c r="BL97" s="32"/>
      <c r="BM97" s="32">
        <v>282811</v>
      </c>
      <c r="BN97" s="32">
        <f>BM97</f>
        <v>282811</v>
      </c>
      <c r="BO97" s="32"/>
      <c r="BP97" s="32"/>
      <c r="BQ97" s="32"/>
    </row>
    <row r="98" spans="1:70" x14ac:dyDescent="0.5">
      <c r="A98" s="61">
        <v>92</v>
      </c>
      <c r="B98" s="85" t="s">
        <v>88</v>
      </c>
      <c r="C98" s="64"/>
      <c r="D98" s="65">
        <f>+'กระดาษทำการ 30 เม.ย.58'!BP95</f>
        <v>0</v>
      </c>
      <c r="E98" s="65">
        <v>149492.67000000001</v>
      </c>
      <c r="F98" s="66"/>
      <c r="G98" s="66"/>
      <c r="H98" s="90">
        <f t="shared" si="70"/>
        <v>0</v>
      </c>
      <c r="I98" s="93">
        <f>+E98</f>
        <v>149492.67000000001</v>
      </c>
      <c r="J98" s="66"/>
      <c r="K98" s="66"/>
      <c r="L98" s="91"/>
      <c r="M98" s="93">
        <f>+I98</f>
        <v>149492.67000000001</v>
      </c>
      <c r="N98" s="66"/>
      <c r="O98" s="66"/>
      <c r="P98" s="91">
        <f t="shared" si="57"/>
        <v>0</v>
      </c>
      <c r="Q98" s="93">
        <f>+M98+O98-N98</f>
        <v>149492.67000000001</v>
      </c>
      <c r="R98" s="66"/>
      <c r="S98" s="66"/>
      <c r="T98" s="91">
        <f t="shared" si="58"/>
        <v>0</v>
      </c>
      <c r="U98" s="93">
        <f>+Q98+S98-R98</f>
        <v>149492.67000000001</v>
      </c>
      <c r="V98" s="66"/>
      <c r="W98" s="66"/>
      <c r="X98" s="91">
        <f t="shared" si="82"/>
        <v>0</v>
      </c>
      <c r="Y98" s="93">
        <f>+U98+W98-V98</f>
        <v>149492.67000000001</v>
      </c>
      <c r="Z98" s="66"/>
      <c r="AA98" s="66"/>
      <c r="AB98" s="93"/>
      <c r="AC98" s="93">
        <f>+Y98+AA98-Z98</f>
        <v>149492.67000000001</v>
      </c>
      <c r="AD98" s="66"/>
      <c r="AE98" s="66"/>
      <c r="AF98" s="93"/>
      <c r="AG98" s="93">
        <f>+AC98</f>
        <v>149492.67000000001</v>
      </c>
      <c r="AH98" s="66"/>
      <c r="AI98" s="66"/>
      <c r="AJ98" s="91">
        <f t="shared" si="62"/>
        <v>0</v>
      </c>
      <c r="AK98" s="93">
        <f>+AG98+AI98-AH98</f>
        <v>149492.67000000001</v>
      </c>
      <c r="AL98" s="66"/>
      <c r="AM98" s="66"/>
      <c r="AN98" s="93"/>
      <c r="AO98" s="93">
        <f>+AK98</f>
        <v>149492.67000000001</v>
      </c>
      <c r="AP98" s="66"/>
      <c r="AQ98" s="66"/>
      <c r="AR98" s="90">
        <f t="shared" si="80"/>
        <v>0</v>
      </c>
      <c r="AS98" s="91">
        <f t="shared" si="81"/>
        <v>149492.67000000001</v>
      </c>
      <c r="AT98" s="66"/>
      <c r="AU98" s="66"/>
      <c r="AV98" s="68">
        <f t="shared" si="78"/>
        <v>0</v>
      </c>
      <c r="AW98" s="66">
        <f>+AS98</f>
        <v>149492.67000000001</v>
      </c>
      <c r="AX98" s="66"/>
      <c r="AY98" s="66"/>
      <c r="AZ98" s="66"/>
      <c r="BA98" s="66"/>
      <c r="BB98" s="66"/>
      <c r="BC98" s="66"/>
      <c r="BD98" s="66"/>
      <c r="BE98" s="66"/>
      <c r="BF98" s="42"/>
      <c r="BG98" s="43"/>
      <c r="BH98" s="39"/>
      <c r="BI98" s="43"/>
      <c r="BJ98" s="43"/>
      <c r="BK98" s="43"/>
      <c r="BL98" s="43"/>
      <c r="BM98" s="43"/>
      <c r="BN98" s="43">
        <v>345819.67</v>
      </c>
      <c r="BO98" s="43"/>
      <c r="BP98" s="43"/>
      <c r="BQ98" s="43">
        <f>BN98</f>
        <v>345819.67</v>
      </c>
    </row>
    <row r="99" spans="1:70" s="57" customFormat="1" ht="22.5" thickBot="1" x14ac:dyDescent="0.55000000000000004">
      <c r="A99" s="7"/>
      <c r="B99" s="86"/>
      <c r="C99" s="9"/>
      <c r="D99" s="72">
        <f t="shared" ref="D99:AI99" si="83">SUM(D7:D98)</f>
        <v>8079872.1899999995</v>
      </c>
      <c r="E99" s="72">
        <f t="shared" si="83"/>
        <v>8079872.1899999995</v>
      </c>
      <c r="F99" s="72">
        <f t="shared" si="83"/>
        <v>655304.49</v>
      </c>
      <c r="G99" s="72">
        <f t="shared" si="83"/>
        <v>655304.49</v>
      </c>
      <c r="H99" s="94">
        <f t="shared" si="83"/>
        <v>8089634.6799999997</v>
      </c>
      <c r="I99" s="94">
        <f t="shared" si="83"/>
        <v>8089634.6799999997</v>
      </c>
      <c r="J99" s="72">
        <f t="shared" si="83"/>
        <v>180447.48</v>
      </c>
      <c r="K99" s="72">
        <f t="shared" si="83"/>
        <v>180447.47999999998</v>
      </c>
      <c r="L99" s="94">
        <f t="shared" si="83"/>
        <v>8151903.8599999994</v>
      </c>
      <c r="M99" s="94">
        <f t="shared" si="83"/>
        <v>8151903.8600000003</v>
      </c>
      <c r="N99" s="72">
        <f t="shared" si="83"/>
        <v>736956.62999999989</v>
      </c>
      <c r="O99" s="72">
        <f t="shared" si="83"/>
        <v>736956.62999999989</v>
      </c>
      <c r="P99" s="94">
        <f t="shared" si="83"/>
        <v>8258151.1099999994</v>
      </c>
      <c r="Q99" s="94">
        <f t="shared" si="83"/>
        <v>8258151.1099999994</v>
      </c>
      <c r="R99" s="72">
        <f t="shared" si="83"/>
        <v>70093</v>
      </c>
      <c r="S99" s="72">
        <f t="shared" si="83"/>
        <v>70093</v>
      </c>
      <c r="T99" s="94">
        <f t="shared" si="83"/>
        <v>8272191.1099999994</v>
      </c>
      <c r="U99" s="94">
        <f t="shared" si="83"/>
        <v>8272191.1099999994</v>
      </c>
      <c r="V99" s="72">
        <f t="shared" si="83"/>
        <v>27140.879999999997</v>
      </c>
      <c r="W99" s="72">
        <f t="shared" si="83"/>
        <v>27140.880000000001</v>
      </c>
      <c r="X99" s="94">
        <f t="shared" si="83"/>
        <v>8287344.9899999993</v>
      </c>
      <c r="Y99" s="94">
        <f t="shared" si="83"/>
        <v>8287344.9899999993</v>
      </c>
      <c r="Z99" s="72">
        <f t="shared" si="83"/>
        <v>401242.81000000006</v>
      </c>
      <c r="AA99" s="72">
        <f t="shared" si="83"/>
        <v>401242.81</v>
      </c>
      <c r="AB99" s="94">
        <f t="shared" si="83"/>
        <v>8320676.959999999</v>
      </c>
      <c r="AC99" s="94">
        <f t="shared" si="83"/>
        <v>8320676.96</v>
      </c>
      <c r="AD99" s="72">
        <f t="shared" si="83"/>
        <v>217843.14</v>
      </c>
      <c r="AE99" s="72">
        <f t="shared" si="83"/>
        <v>217843.13999999998</v>
      </c>
      <c r="AF99" s="94">
        <f t="shared" si="83"/>
        <v>8372726.6499999994</v>
      </c>
      <c r="AG99" s="94">
        <f t="shared" si="83"/>
        <v>8372726.6500000004</v>
      </c>
      <c r="AH99" s="72">
        <f t="shared" si="83"/>
        <v>115436.69</v>
      </c>
      <c r="AI99" s="72">
        <f t="shared" si="83"/>
        <v>115436.69</v>
      </c>
      <c r="AJ99" s="94">
        <f t="shared" ref="AJ99:BE99" si="84">SUM(AJ7:AJ98)</f>
        <v>8403566.6499999985</v>
      </c>
      <c r="AK99" s="94">
        <f t="shared" si="84"/>
        <v>8403566.6500000004</v>
      </c>
      <c r="AL99" s="72">
        <f t="shared" si="84"/>
        <v>1716650.67</v>
      </c>
      <c r="AM99" s="72">
        <f t="shared" si="84"/>
        <v>1716650.67</v>
      </c>
      <c r="AN99" s="94">
        <f t="shared" si="84"/>
        <v>8479572.8299999982</v>
      </c>
      <c r="AO99" s="94">
        <f t="shared" si="84"/>
        <v>8479572.8300000001</v>
      </c>
      <c r="AP99" s="72">
        <f t="shared" si="84"/>
        <v>1133808.1000000001</v>
      </c>
      <c r="AQ99" s="72">
        <f t="shared" si="84"/>
        <v>1133808.0999999999</v>
      </c>
      <c r="AR99" s="94">
        <f t="shared" si="84"/>
        <v>8539739.9899999984</v>
      </c>
      <c r="AS99" s="94">
        <f t="shared" si="84"/>
        <v>8539739.9899999984</v>
      </c>
      <c r="AT99" s="72">
        <f t="shared" si="84"/>
        <v>1599983.54</v>
      </c>
      <c r="AU99" s="72">
        <f t="shared" si="84"/>
        <v>1599983.5399999998</v>
      </c>
      <c r="AV99" s="72">
        <f t="shared" si="84"/>
        <v>8623920.9099999983</v>
      </c>
      <c r="AW99" s="72">
        <f t="shared" si="84"/>
        <v>8623920.9100000001</v>
      </c>
      <c r="AX99" s="72">
        <f t="shared" si="84"/>
        <v>0</v>
      </c>
      <c r="AY99" s="72">
        <f t="shared" si="84"/>
        <v>0</v>
      </c>
      <c r="AZ99" s="72">
        <f t="shared" si="84"/>
        <v>0</v>
      </c>
      <c r="BA99" s="72">
        <f t="shared" si="84"/>
        <v>0</v>
      </c>
      <c r="BB99" s="72">
        <f t="shared" si="84"/>
        <v>0</v>
      </c>
      <c r="BC99" s="72">
        <f t="shared" si="84"/>
        <v>0</v>
      </c>
      <c r="BD99" s="72">
        <f t="shared" si="84"/>
        <v>8065132.1899999995</v>
      </c>
      <c r="BE99" s="72">
        <f t="shared" si="84"/>
        <v>7930379.5199999996</v>
      </c>
      <c r="BF99" s="73"/>
      <c r="BG99" s="72">
        <f>SUM(BG7:BG98)</f>
        <v>867422.49000000011</v>
      </c>
      <c r="BH99" s="73"/>
      <c r="BI99" s="72">
        <f>SUM(BI7:BI98)</f>
        <v>867422.48999999987</v>
      </c>
      <c r="BJ99" s="72">
        <f>SUM(BJ7:BJ97)</f>
        <v>8199370.2599999988</v>
      </c>
      <c r="BK99" s="72">
        <f>SUM(BK7:BK97)</f>
        <v>8067595.5900000008</v>
      </c>
      <c r="BL99" s="72">
        <f>SUM(BL7:BL97)</f>
        <v>0</v>
      </c>
      <c r="BM99" s="72">
        <f>SUM(BM7:BM97)</f>
        <v>306994</v>
      </c>
      <c r="BN99" s="72">
        <f>SUM(BN66:BN98)</f>
        <v>821276.02</v>
      </c>
      <c r="BO99" s="72">
        <f>SUM(BO7:BO97)</f>
        <v>482355.49</v>
      </c>
      <c r="BP99" s="72">
        <f>SUM(BP7:BP98)</f>
        <v>8006724.9099999992</v>
      </c>
      <c r="BQ99" s="72">
        <f>SUM(BQ7:BQ98)</f>
        <v>7931291.7699999996</v>
      </c>
      <c r="BR99" s="74"/>
    </row>
    <row r="100" spans="1:70" s="13" customFormat="1" ht="22.5" thickTop="1" x14ac:dyDescent="0.5">
      <c r="A100" s="12"/>
      <c r="B100" s="87"/>
      <c r="E100" s="6">
        <f>+D99-E99</f>
        <v>0</v>
      </c>
      <c r="G100" s="6">
        <f>+F99-G99</f>
        <v>0</v>
      </c>
      <c r="H100" s="95"/>
      <c r="I100" s="98">
        <f>+H99-I99</f>
        <v>0</v>
      </c>
      <c r="K100" s="6">
        <f>+J99-K99</f>
        <v>0</v>
      </c>
      <c r="L100" s="95"/>
      <c r="M100" s="98">
        <f>+L99-M99</f>
        <v>0</v>
      </c>
      <c r="O100" s="6">
        <f>+N99-O99</f>
        <v>0</v>
      </c>
      <c r="P100" s="95"/>
      <c r="Q100" s="98">
        <f>+P99-Q99</f>
        <v>0</v>
      </c>
      <c r="S100" s="6">
        <f>+R99-S99</f>
        <v>0</v>
      </c>
      <c r="T100" s="95"/>
      <c r="U100" s="98">
        <f>+T99-U99</f>
        <v>0</v>
      </c>
      <c r="X100" s="95"/>
      <c r="Y100" s="98">
        <f>+X99-Y99</f>
        <v>0</v>
      </c>
      <c r="Z100" s="6"/>
      <c r="AA100" s="6">
        <f>+Z99-AA99</f>
        <v>0</v>
      </c>
      <c r="AB100" s="95"/>
      <c r="AC100" s="98">
        <f>+AB99-AC99</f>
        <v>0</v>
      </c>
      <c r="AE100" s="6">
        <f>+AD99-AE99</f>
        <v>0</v>
      </c>
      <c r="AF100" s="95"/>
      <c r="AG100" s="98">
        <f>+AF99-AG99</f>
        <v>0</v>
      </c>
      <c r="AI100" s="6">
        <f>+AH99-AI99</f>
        <v>0</v>
      </c>
      <c r="AJ100" s="95"/>
      <c r="AK100" s="98">
        <f>+AJ99-AK99</f>
        <v>0</v>
      </c>
      <c r="AM100" s="6">
        <f>+AL99-AM99</f>
        <v>0</v>
      </c>
      <c r="AN100" s="95"/>
      <c r="AO100" s="98">
        <f>+AN99-AO99</f>
        <v>0</v>
      </c>
      <c r="AQ100" s="6">
        <f>+AP99-AQ99</f>
        <v>0</v>
      </c>
      <c r="AR100" s="95"/>
      <c r="AS100" s="98"/>
      <c r="AU100" s="6">
        <f>+AT99-AU99</f>
        <v>0</v>
      </c>
      <c r="AW100" s="6">
        <f>+AV99-AW99</f>
        <v>0</v>
      </c>
      <c r="AY100" s="6"/>
      <c r="BF100" s="14"/>
      <c r="BH100" s="14"/>
    </row>
    <row r="101" spans="1:70" s="13" customFormat="1" x14ac:dyDescent="0.5">
      <c r="A101" s="12"/>
      <c r="B101" s="87"/>
      <c r="E101" s="6"/>
      <c r="G101" s="6"/>
      <c r="H101" s="95"/>
      <c r="I101" s="98"/>
      <c r="K101" s="6"/>
      <c r="L101" s="95"/>
      <c r="M101" s="98"/>
      <c r="O101" s="6"/>
      <c r="P101" s="95"/>
      <c r="Q101" s="98"/>
      <c r="S101" s="6"/>
      <c r="T101" s="95"/>
      <c r="U101" s="98"/>
      <c r="X101" s="95"/>
      <c r="Y101" s="98"/>
      <c r="Z101" s="6"/>
      <c r="AA101" s="6"/>
      <c r="AB101" s="95"/>
      <c r="AC101" s="98"/>
      <c r="AE101" s="6"/>
      <c r="AF101" s="95"/>
      <c r="AG101" s="98"/>
      <c r="AI101" s="6"/>
      <c r="AJ101" s="95"/>
      <c r="AK101" s="98"/>
      <c r="AM101" s="6"/>
      <c r="AN101" s="95"/>
      <c r="AO101" s="98"/>
      <c r="AQ101" s="6"/>
      <c r="AR101" s="95"/>
      <c r="AS101" s="98"/>
      <c r="AU101" s="6"/>
      <c r="AW101" s="6"/>
      <c r="AY101" s="6"/>
      <c r="BF101" s="14"/>
      <c r="BH101" s="14"/>
    </row>
    <row r="102" spans="1:70" s="13" customFormat="1" x14ac:dyDescent="0.5">
      <c r="A102" s="12"/>
      <c r="B102" s="87"/>
      <c r="E102" s="6"/>
      <c r="G102" s="6"/>
      <c r="H102" s="95"/>
      <c r="I102" s="98"/>
      <c r="K102" s="6"/>
      <c r="L102" s="95"/>
      <c r="M102" s="98"/>
      <c r="O102" s="6"/>
      <c r="P102" s="95"/>
      <c r="Q102" s="98"/>
      <c r="S102" s="6"/>
      <c r="T102" s="95"/>
      <c r="U102" s="98"/>
      <c r="X102" s="95"/>
      <c r="Y102" s="98"/>
      <c r="Z102" s="6"/>
      <c r="AA102" s="6"/>
      <c r="AB102" s="95"/>
      <c r="AC102" s="98"/>
      <c r="AE102" s="6"/>
      <c r="AF102" s="95"/>
      <c r="AG102" s="98"/>
      <c r="AI102" s="6"/>
      <c r="AJ102" s="95"/>
      <c r="AK102" s="98"/>
      <c r="AM102" s="6"/>
      <c r="AN102" s="95"/>
      <c r="AO102" s="98"/>
      <c r="AQ102" s="6"/>
      <c r="AR102" s="95"/>
      <c r="AS102" s="98"/>
      <c r="AY102" s="6"/>
      <c r="BF102" s="14"/>
      <c r="BH102" s="14"/>
    </row>
    <row r="103" spans="1:70" s="13" customFormat="1" ht="24" x14ac:dyDescent="0.55000000000000004">
      <c r="A103" s="12"/>
      <c r="B103" s="87"/>
      <c r="H103" s="95"/>
      <c r="I103" s="95"/>
      <c r="L103" s="95"/>
      <c r="M103" s="95"/>
      <c r="P103" s="95"/>
      <c r="Q103" s="95"/>
      <c r="T103" s="95"/>
      <c r="U103" s="95"/>
      <c r="X103" s="95"/>
      <c r="Y103" s="95"/>
      <c r="AB103" s="95"/>
      <c r="AC103" s="95"/>
      <c r="AF103" s="95"/>
      <c r="AG103" s="95"/>
      <c r="AJ103" s="95"/>
      <c r="AK103" s="95"/>
      <c r="AN103" s="95"/>
      <c r="AO103" s="95"/>
      <c r="AQ103" s="323"/>
      <c r="AR103" s="323"/>
      <c r="AS103" s="323"/>
      <c r="AT103" s="323" t="s">
        <v>158</v>
      </c>
      <c r="AU103" s="323"/>
      <c r="AV103" s="323"/>
      <c r="BF103" s="14"/>
      <c r="BH103" s="14"/>
    </row>
    <row r="104" spans="1:70" s="13" customFormat="1" ht="24" x14ac:dyDescent="0.55000000000000004">
      <c r="A104" s="12"/>
      <c r="B104" s="87"/>
      <c r="D104" s="16"/>
      <c r="E104" s="16"/>
      <c r="F104" s="16"/>
      <c r="G104" s="16"/>
      <c r="H104" s="96"/>
      <c r="I104" s="96"/>
      <c r="J104" s="16"/>
      <c r="K104" s="16"/>
      <c r="L104" s="96"/>
      <c r="M104" s="96"/>
      <c r="N104" s="16"/>
      <c r="O104" s="16"/>
      <c r="P104" s="96"/>
      <c r="Q104" s="96"/>
      <c r="R104" s="16"/>
      <c r="S104" s="16"/>
      <c r="T104" s="96"/>
      <c r="U104" s="96"/>
      <c r="V104" s="16"/>
      <c r="W104" s="16"/>
      <c r="X104" s="96"/>
      <c r="Y104" s="96"/>
      <c r="Z104" s="16"/>
      <c r="AA104" s="16"/>
      <c r="AB104" s="96"/>
      <c r="AC104" s="96"/>
      <c r="AD104" s="16"/>
      <c r="AE104" s="16"/>
      <c r="AF104" s="96"/>
      <c r="AG104" s="96"/>
      <c r="AH104" s="16"/>
      <c r="AI104" s="16"/>
      <c r="AJ104" s="96"/>
      <c r="AK104" s="96"/>
      <c r="AL104" s="16"/>
      <c r="AN104" s="95"/>
      <c r="AO104" s="95"/>
      <c r="AP104" s="16"/>
      <c r="AQ104" s="323"/>
      <c r="AR104" s="323"/>
      <c r="AS104" s="323"/>
      <c r="AT104" s="323" t="s">
        <v>159</v>
      </c>
      <c r="AU104" s="323"/>
      <c r="AV104" s="323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</row>
    <row r="105" spans="1:70" s="13" customFormat="1" ht="24" x14ac:dyDescent="0.55000000000000004">
      <c r="A105" s="12"/>
      <c r="B105" s="87"/>
      <c r="H105" s="95"/>
      <c r="I105" s="95"/>
      <c r="L105" s="95"/>
      <c r="M105" s="95"/>
      <c r="P105" s="95"/>
      <c r="Q105" s="95"/>
      <c r="T105" s="95"/>
      <c r="U105" s="95"/>
      <c r="X105" s="95"/>
      <c r="Y105" s="95"/>
      <c r="AB105" s="95"/>
      <c r="AC105" s="95"/>
      <c r="AF105" s="95"/>
      <c r="AG105" s="95"/>
      <c r="AJ105" s="95"/>
      <c r="AK105" s="95"/>
      <c r="AM105" s="13" t="s">
        <v>156</v>
      </c>
      <c r="AN105" s="95"/>
      <c r="AO105" s="95"/>
      <c r="AR105" s="95"/>
      <c r="AS105" s="95"/>
      <c r="AT105" s="323" t="s">
        <v>156</v>
      </c>
      <c r="AU105" s="323"/>
      <c r="AV105" s="323"/>
      <c r="BF105" s="14"/>
      <c r="BH105" s="14"/>
    </row>
    <row r="106" spans="1:70" s="13" customFormat="1" x14ac:dyDescent="0.5">
      <c r="A106" s="12"/>
      <c r="B106" s="87"/>
      <c r="H106" s="95"/>
      <c r="I106" s="95"/>
      <c r="L106" s="95"/>
      <c r="M106" s="95"/>
      <c r="P106" s="95"/>
      <c r="Q106" s="95"/>
      <c r="T106" s="95"/>
      <c r="U106" s="95"/>
      <c r="X106" s="95"/>
      <c r="Y106" s="95"/>
      <c r="AB106" s="95"/>
      <c r="AC106" s="95"/>
      <c r="AF106" s="95"/>
      <c r="AG106" s="95"/>
      <c r="AJ106" s="95"/>
      <c r="AK106" s="95"/>
      <c r="AN106" s="95"/>
      <c r="AO106" s="95"/>
      <c r="AR106" s="95"/>
      <c r="AS106" s="95"/>
      <c r="BF106" s="14"/>
      <c r="BH106" s="14"/>
    </row>
    <row r="107" spans="1:70" s="13" customFormat="1" x14ac:dyDescent="0.5">
      <c r="A107" s="12"/>
      <c r="B107" s="87"/>
      <c r="H107" s="95"/>
      <c r="I107" s="95"/>
      <c r="L107" s="95"/>
      <c r="M107" s="95"/>
      <c r="P107" s="95"/>
      <c r="Q107" s="95"/>
      <c r="T107" s="95"/>
      <c r="U107" s="95"/>
      <c r="X107" s="95"/>
      <c r="Y107" s="95"/>
      <c r="AB107" s="95"/>
      <c r="AC107" s="95"/>
      <c r="AF107" s="95"/>
      <c r="AG107" s="95"/>
      <c r="AJ107" s="95"/>
      <c r="AK107" s="95"/>
      <c r="AN107" s="95"/>
      <c r="AO107" s="95"/>
      <c r="AR107" s="95"/>
      <c r="AS107" s="95"/>
      <c r="BF107" s="14"/>
      <c r="BH107" s="14"/>
    </row>
    <row r="108" spans="1:70" s="13" customFormat="1" x14ac:dyDescent="0.5">
      <c r="A108" s="12"/>
      <c r="B108" s="87"/>
      <c r="H108" s="95"/>
      <c r="I108" s="95"/>
      <c r="L108" s="95"/>
      <c r="M108" s="95"/>
      <c r="P108" s="95"/>
      <c r="Q108" s="95"/>
      <c r="T108" s="95"/>
      <c r="U108" s="95"/>
      <c r="X108" s="95"/>
      <c r="Y108" s="95"/>
      <c r="AB108" s="95"/>
      <c r="AC108" s="95"/>
      <c r="AF108" s="95"/>
      <c r="AG108" s="95"/>
      <c r="AJ108" s="95"/>
      <c r="AK108" s="95"/>
      <c r="AN108" s="95"/>
      <c r="AO108" s="95"/>
      <c r="AR108" s="95"/>
      <c r="AS108" s="95"/>
      <c r="BF108" s="14"/>
      <c r="BH108" s="14"/>
    </row>
    <row r="109" spans="1:70" s="13" customFormat="1" x14ac:dyDescent="0.5">
      <c r="A109" s="12"/>
      <c r="B109" s="87"/>
      <c r="H109" s="95"/>
      <c r="I109" s="95"/>
      <c r="L109" s="95"/>
      <c r="M109" s="95"/>
      <c r="P109" s="95"/>
      <c r="Q109" s="95"/>
      <c r="T109" s="95"/>
      <c r="U109" s="95"/>
      <c r="X109" s="95"/>
      <c r="Y109" s="95"/>
      <c r="AB109" s="95"/>
      <c r="AC109" s="95"/>
      <c r="AF109" s="95"/>
      <c r="AG109" s="95"/>
      <c r="AJ109" s="95"/>
      <c r="AK109" s="95"/>
      <c r="AN109" s="95"/>
      <c r="AO109" s="95"/>
      <c r="AR109" s="95"/>
      <c r="AS109" s="95"/>
      <c r="BF109" s="14"/>
      <c r="BH109" s="14"/>
    </row>
    <row r="110" spans="1:70" s="13" customFormat="1" x14ac:dyDescent="0.5">
      <c r="A110" s="12"/>
      <c r="B110" s="87"/>
      <c r="H110" s="95"/>
      <c r="I110" s="95"/>
      <c r="L110" s="95"/>
      <c r="M110" s="95"/>
      <c r="P110" s="95"/>
      <c r="Q110" s="95"/>
      <c r="T110" s="95"/>
      <c r="U110" s="95"/>
      <c r="X110" s="95"/>
      <c r="Y110" s="95"/>
      <c r="AB110" s="95"/>
      <c r="AC110" s="95"/>
      <c r="AF110" s="95"/>
      <c r="AG110" s="95"/>
      <c r="AJ110" s="95"/>
      <c r="AK110" s="95"/>
      <c r="AN110" s="95"/>
      <c r="AO110" s="95"/>
      <c r="AR110" s="95"/>
      <c r="AS110" s="95"/>
      <c r="BF110" s="14"/>
      <c r="BH110" s="14"/>
    </row>
    <row r="111" spans="1:70" s="13" customFormat="1" x14ac:dyDescent="0.5">
      <c r="A111" s="12"/>
      <c r="B111" s="87"/>
      <c r="H111" s="95"/>
      <c r="I111" s="95"/>
      <c r="L111" s="95"/>
      <c r="M111" s="95"/>
      <c r="P111" s="95"/>
      <c r="Q111" s="95"/>
      <c r="T111" s="95"/>
      <c r="U111" s="95"/>
      <c r="X111" s="95"/>
      <c r="Y111" s="95"/>
      <c r="AB111" s="95"/>
      <c r="AC111" s="95"/>
      <c r="AF111" s="95"/>
      <c r="AG111" s="95"/>
      <c r="AJ111" s="95"/>
      <c r="AK111" s="95"/>
      <c r="AN111" s="95"/>
      <c r="AO111" s="95"/>
      <c r="AR111" s="95"/>
      <c r="AS111" s="95"/>
      <c r="BF111" s="14"/>
      <c r="BH111" s="14"/>
    </row>
    <row r="112" spans="1:70" s="13" customFormat="1" x14ac:dyDescent="0.5">
      <c r="A112" s="12"/>
      <c r="B112" s="87"/>
      <c r="H112" s="95"/>
      <c r="I112" s="95"/>
      <c r="L112" s="95"/>
      <c r="M112" s="95"/>
      <c r="P112" s="95"/>
      <c r="Q112" s="95"/>
      <c r="T112" s="95"/>
      <c r="U112" s="95"/>
      <c r="X112" s="95"/>
      <c r="Y112" s="95"/>
      <c r="AB112" s="95"/>
      <c r="AC112" s="95"/>
      <c r="AF112" s="95"/>
      <c r="AG112" s="95"/>
      <c r="AJ112" s="95"/>
      <c r="AK112" s="95"/>
      <c r="AN112" s="95"/>
      <c r="AO112" s="95"/>
      <c r="AR112" s="95"/>
      <c r="AS112" s="95"/>
      <c r="BF112" s="14"/>
      <c r="BH112" s="14"/>
    </row>
    <row r="113" spans="1:60" s="13" customFormat="1" x14ac:dyDescent="0.5">
      <c r="A113" s="12"/>
      <c r="B113" s="87"/>
      <c r="H113" s="95"/>
      <c r="I113" s="95"/>
      <c r="L113" s="95"/>
      <c r="M113" s="95"/>
      <c r="P113" s="95"/>
      <c r="Q113" s="95"/>
      <c r="T113" s="95"/>
      <c r="U113" s="95"/>
      <c r="X113" s="95"/>
      <c r="Y113" s="95"/>
      <c r="AB113" s="95"/>
      <c r="AC113" s="95"/>
      <c r="AF113" s="95"/>
      <c r="AG113" s="95"/>
      <c r="AJ113" s="95"/>
      <c r="AK113" s="95"/>
      <c r="AN113" s="95"/>
      <c r="AO113" s="95"/>
      <c r="AR113" s="95"/>
      <c r="AS113" s="95"/>
      <c r="BF113" s="14"/>
      <c r="BH113" s="14"/>
    </row>
    <row r="114" spans="1:60" s="13" customFormat="1" x14ac:dyDescent="0.5">
      <c r="A114" s="12"/>
      <c r="B114" s="87"/>
      <c r="H114" s="95"/>
      <c r="I114" s="95"/>
      <c r="L114" s="95"/>
      <c r="M114" s="95"/>
      <c r="P114" s="95"/>
      <c r="Q114" s="95"/>
      <c r="T114" s="95"/>
      <c r="U114" s="95"/>
      <c r="X114" s="95"/>
      <c r="Y114" s="95"/>
      <c r="AB114" s="95"/>
      <c r="AC114" s="95"/>
      <c r="AF114" s="95"/>
      <c r="AG114" s="95"/>
      <c r="AJ114" s="95"/>
      <c r="AK114" s="95"/>
      <c r="AN114" s="95"/>
      <c r="AO114" s="95"/>
      <c r="AR114" s="95"/>
      <c r="AS114" s="95"/>
      <c r="BF114" s="14"/>
      <c r="BH114" s="14"/>
    </row>
    <row r="115" spans="1:60" s="13" customFormat="1" x14ac:dyDescent="0.5">
      <c r="A115" s="12"/>
      <c r="B115" s="87"/>
      <c r="H115" s="95"/>
      <c r="I115" s="95"/>
      <c r="L115" s="95"/>
      <c r="M115" s="95"/>
      <c r="P115" s="95"/>
      <c r="Q115" s="95"/>
      <c r="T115" s="95"/>
      <c r="U115" s="95"/>
      <c r="X115" s="95"/>
      <c r="Y115" s="95"/>
      <c r="AB115" s="95"/>
      <c r="AC115" s="95"/>
      <c r="AF115" s="95"/>
      <c r="AG115" s="95"/>
      <c r="AJ115" s="95"/>
      <c r="AK115" s="95"/>
      <c r="AN115" s="95"/>
      <c r="AO115" s="95"/>
      <c r="AR115" s="95"/>
      <c r="AS115" s="95"/>
      <c r="BF115" s="14"/>
      <c r="BH115" s="14"/>
    </row>
    <row r="116" spans="1:60" s="13" customFormat="1" x14ac:dyDescent="0.5">
      <c r="A116" s="12"/>
      <c r="B116" s="87"/>
      <c r="H116" s="95"/>
      <c r="I116" s="95"/>
      <c r="L116" s="95"/>
      <c r="M116" s="95"/>
      <c r="P116" s="95"/>
      <c r="Q116" s="95"/>
      <c r="T116" s="95"/>
      <c r="U116" s="95"/>
      <c r="X116" s="95"/>
      <c r="Y116" s="95"/>
      <c r="AB116" s="95"/>
      <c r="AC116" s="95"/>
      <c r="AF116" s="95"/>
      <c r="AG116" s="95"/>
      <c r="AJ116" s="95"/>
      <c r="AK116" s="95"/>
      <c r="AN116" s="95"/>
      <c r="AO116" s="95"/>
      <c r="AR116" s="95"/>
      <c r="AS116" s="95"/>
      <c r="BF116" s="14"/>
      <c r="BH116" s="14"/>
    </row>
    <row r="117" spans="1:60" s="13" customFormat="1" x14ac:dyDescent="0.5">
      <c r="A117" s="12"/>
      <c r="B117" s="87"/>
      <c r="H117" s="95"/>
      <c r="I117" s="95"/>
      <c r="L117" s="95"/>
      <c r="M117" s="95"/>
      <c r="P117" s="95"/>
      <c r="Q117" s="95"/>
      <c r="T117" s="95"/>
      <c r="U117" s="95"/>
      <c r="X117" s="95"/>
      <c r="Y117" s="95"/>
      <c r="AB117" s="95"/>
      <c r="AC117" s="95"/>
      <c r="AF117" s="95"/>
      <c r="AG117" s="95"/>
      <c r="AJ117" s="95"/>
      <c r="AK117" s="95"/>
      <c r="AN117" s="95"/>
      <c r="AO117" s="95"/>
      <c r="AR117" s="95"/>
      <c r="AS117" s="95"/>
      <c r="BF117" s="14"/>
      <c r="BH117" s="14"/>
    </row>
    <row r="118" spans="1:60" s="13" customFormat="1" x14ac:dyDescent="0.5">
      <c r="A118" s="12"/>
      <c r="B118" s="87"/>
      <c r="H118" s="95"/>
      <c r="I118" s="95"/>
      <c r="L118" s="95"/>
      <c r="M118" s="95"/>
      <c r="P118" s="95"/>
      <c r="Q118" s="95"/>
      <c r="T118" s="95"/>
      <c r="U118" s="95"/>
      <c r="X118" s="95"/>
      <c r="Y118" s="95"/>
      <c r="AB118" s="95"/>
      <c r="AC118" s="95"/>
      <c r="AF118" s="95"/>
      <c r="AG118" s="95"/>
      <c r="AJ118" s="95"/>
      <c r="AK118" s="95"/>
      <c r="AN118" s="95"/>
      <c r="AO118" s="95"/>
      <c r="AR118" s="95"/>
      <c r="AS118" s="95"/>
      <c r="BF118" s="14"/>
      <c r="BH118" s="14"/>
    </row>
    <row r="119" spans="1:60" s="13" customFormat="1" x14ac:dyDescent="0.5">
      <c r="A119" s="12"/>
      <c r="B119" s="87"/>
      <c r="H119" s="95"/>
      <c r="I119" s="95"/>
      <c r="L119" s="95"/>
      <c r="M119" s="95"/>
      <c r="P119" s="95"/>
      <c r="Q119" s="95"/>
      <c r="T119" s="95"/>
      <c r="U119" s="95"/>
      <c r="X119" s="95"/>
      <c r="Y119" s="95"/>
      <c r="AB119" s="95"/>
      <c r="AC119" s="95"/>
      <c r="AF119" s="95"/>
      <c r="AG119" s="95"/>
      <c r="AJ119" s="95"/>
      <c r="AK119" s="95"/>
      <c r="AN119" s="95"/>
      <c r="AO119" s="95"/>
      <c r="AR119" s="95"/>
      <c r="AS119" s="95"/>
      <c r="BF119" s="14"/>
      <c r="BH119" s="14"/>
    </row>
    <row r="120" spans="1:60" s="13" customFormat="1" x14ac:dyDescent="0.5">
      <c r="A120" s="12"/>
      <c r="B120" s="87"/>
      <c r="H120" s="95"/>
      <c r="I120" s="95"/>
      <c r="L120" s="95"/>
      <c r="M120" s="95"/>
      <c r="P120" s="95"/>
      <c r="Q120" s="95"/>
      <c r="T120" s="95"/>
      <c r="U120" s="95"/>
      <c r="X120" s="95"/>
      <c r="Y120" s="95"/>
      <c r="AB120" s="95"/>
      <c r="AC120" s="95"/>
      <c r="AF120" s="95"/>
      <c r="AG120" s="95"/>
      <c r="AJ120" s="95"/>
      <c r="AK120" s="95"/>
      <c r="AN120" s="95"/>
      <c r="AO120" s="95"/>
      <c r="AR120" s="95"/>
      <c r="AS120" s="95"/>
      <c r="BF120" s="14"/>
      <c r="BH120" s="14"/>
    </row>
    <row r="121" spans="1:60" s="13" customFormat="1" x14ac:dyDescent="0.5">
      <c r="A121" s="12"/>
      <c r="B121" s="87"/>
      <c r="H121" s="95"/>
      <c r="I121" s="95"/>
      <c r="L121" s="95"/>
      <c r="M121" s="95"/>
      <c r="P121" s="95"/>
      <c r="Q121" s="95"/>
      <c r="T121" s="95"/>
      <c r="U121" s="95"/>
      <c r="X121" s="95"/>
      <c r="Y121" s="95"/>
      <c r="AB121" s="95"/>
      <c r="AC121" s="95"/>
      <c r="AF121" s="95"/>
      <c r="AG121" s="95"/>
      <c r="AJ121" s="95"/>
      <c r="AK121" s="95"/>
      <c r="AN121" s="95"/>
      <c r="AO121" s="95"/>
      <c r="AR121" s="95"/>
      <c r="AS121" s="95"/>
      <c r="BF121" s="14"/>
      <c r="BH121" s="14"/>
    </row>
    <row r="122" spans="1:60" s="13" customFormat="1" x14ac:dyDescent="0.5">
      <c r="A122" s="12"/>
      <c r="B122" s="87"/>
      <c r="H122" s="95"/>
      <c r="I122" s="95"/>
      <c r="L122" s="95"/>
      <c r="M122" s="95"/>
      <c r="P122" s="95"/>
      <c r="Q122" s="95"/>
      <c r="T122" s="95"/>
      <c r="U122" s="95"/>
      <c r="X122" s="95"/>
      <c r="Y122" s="95"/>
      <c r="AB122" s="95"/>
      <c r="AC122" s="95"/>
      <c r="AF122" s="95"/>
      <c r="AG122" s="95"/>
      <c r="AJ122" s="95"/>
      <c r="AK122" s="95"/>
      <c r="AN122" s="95"/>
      <c r="AO122" s="95"/>
      <c r="AR122" s="95"/>
      <c r="AS122" s="95"/>
      <c r="BF122" s="14"/>
      <c r="BH122" s="14"/>
    </row>
    <row r="123" spans="1:60" s="13" customFormat="1" x14ac:dyDescent="0.5">
      <c r="A123" s="12"/>
      <c r="B123" s="87"/>
      <c r="H123" s="95"/>
      <c r="I123" s="95"/>
      <c r="L123" s="95"/>
      <c r="M123" s="95"/>
      <c r="P123" s="95"/>
      <c r="Q123" s="95"/>
      <c r="T123" s="95"/>
      <c r="U123" s="95"/>
      <c r="X123" s="95"/>
      <c r="Y123" s="95"/>
      <c r="AB123" s="95"/>
      <c r="AC123" s="95"/>
      <c r="AF123" s="95"/>
      <c r="AG123" s="95"/>
      <c r="AJ123" s="95"/>
      <c r="AK123" s="95"/>
      <c r="AN123" s="95"/>
      <c r="AO123" s="95"/>
      <c r="AR123" s="95"/>
      <c r="AS123" s="95"/>
      <c r="BF123" s="14"/>
      <c r="BH123" s="14"/>
    </row>
    <row r="124" spans="1:60" s="13" customFormat="1" x14ac:dyDescent="0.5">
      <c r="A124" s="12"/>
      <c r="B124" s="87"/>
      <c r="H124" s="95"/>
      <c r="I124" s="95"/>
      <c r="L124" s="95"/>
      <c r="M124" s="95"/>
      <c r="P124" s="95"/>
      <c r="Q124" s="95"/>
      <c r="T124" s="95"/>
      <c r="U124" s="95"/>
      <c r="X124" s="95"/>
      <c r="Y124" s="95"/>
      <c r="AB124" s="95"/>
      <c r="AC124" s="95"/>
      <c r="AF124" s="95"/>
      <c r="AG124" s="95"/>
      <c r="AJ124" s="95"/>
      <c r="AK124" s="95"/>
      <c r="AN124" s="95"/>
      <c r="AO124" s="95"/>
      <c r="AR124" s="95"/>
      <c r="AS124" s="95"/>
      <c r="BF124" s="14"/>
      <c r="BH124" s="14"/>
    </row>
    <row r="125" spans="1:60" s="13" customFormat="1" x14ac:dyDescent="0.5">
      <c r="A125" s="12"/>
      <c r="B125" s="87"/>
      <c r="H125" s="95"/>
      <c r="I125" s="95"/>
      <c r="L125" s="95"/>
      <c r="M125" s="95"/>
      <c r="P125" s="95"/>
      <c r="Q125" s="95"/>
      <c r="T125" s="95"/>
      <c r="U125" s="95"/>
      <c r="X125" s="95"/>
      <c r="Y125" s="95"/>
      <c r="AB125" s="95"/>
      <c r="AC125" s="95"/>
      <c r="AF125" s="95"/>
      <c r="AG125" s="95"/>
      <c r="AJ125" s="95"/>
      <c r="AK125" s="95"/>
      <c r="AN125" s="95"/>
      <c r="AO125" s="95"/>
      <c r="AR125" s="95"/>
      <c r="AS125" s="95"/>
      <c r="BF125" s="14"/>
      <c r="BH125" s="14"/>
    </row>
    <row r="126" spans="1:60" s="13" customFormat="1" x14ac:dyDescent="0.5">
      <c r="A126" s="12"/>
      <c r="B126" s="87"/>
      <c r="H126" s="95"/>
      <c r="I126" s="95"/>
      <c r="L126" s="95"/>
      <c r="M126" s="95"/>
      <c r="P126" s="95"/>
      <c r="Q126" s="95"/>
      <c r="T126" s="95"/>
      <c r="U126" s="95"/>
      <c r="X126" s="95"/>
      <c r="Y126" s="95"/>
      <c r="AB126" s="95"/>
      <c r="AC126" s="95"/>
      <c r="AF126" s="95"/>
      <c r="AG126" s="95"/>
      <c r="AJ126" s="95"/>
      <c r="AK126" s="95"/>
      <c r="AN126" s="95"/>
      <c r="AO126" s="95"/>
      <c r="AR126" s="95"/>
      <c r="AS126" s="95"/>
      <c r="BF126" s="14"/>
      <c r="BH126" s="14"/>
    </row>
    <row r="127" spans="1:60" s="13" customFormat="1" x14ac:dyDescent="0.5">
      <c r="A127" s="12"/>
      <c r="B127" s="87"/>
      <c r="H127" s="95"/>
      <c r="I127" s="95"/>
      <c r="L127" s="95"/>
      <c r="M127" s="95"/>
      <c r="P127" s="95"/>
      <c r="Q127" s="95"/>
      <c r="T127" s="95"/>
      <c r="U127" s="95"/>
      <c r="X127" s="95"/>
      <c r="Y127" s="95"/>
      <c r="AB127" s="95"/>
      <c r="AC127" s="95"/>
      <c r="AF127" s="95"/>
      <c r="AG127" s="95"/>
      <c r="AJ127" s="95"/>
      <c r="AK127" s="95"/>
      <c r="AN127" s="95"/>
      <c r="AO127" s="95"/>
      <c r="AR127" s="95"/>
      <c r="AS127" s="95"/>
      <c r="BF127" s="14"/>
      <c r="BH127" s="14"/>
    </row>
    <row r="128" spans="1:60" s="13" customFormat="1" x14ac:dyDescent="0.5">
      <c r="A128" s="12"/>
      <c r="B128" s="87"/>
      <c r="H128" s="95"/>
      <c r="I128" s="95"/>
      <c r="L128" s="95"/>
      <c r="M128" s="95"/>
      <c r="P128" s="95"/>
      <c r="Q128" s="95"/>
      <c r="T128" s="95"/>
      <c r="U128" s="95"/>
      <c r="X128" s="95"/>
      <c r="Y128" s="95"/>
      <c r="AB128" s="95"/>
      <c r="AC128" s="95"/>
      <c r="AF128" s="95"/>
      <c r="AG128" s="95"/>
      <c r="AJ128" s="95"/>
      <c r="AK128" s="95"/>
      <c r="AN128" s="95"/>
      <c r="AO128" s="95"/>
      <c r="AR128" s="95"/>
      <c r="AS128" s="95"/>
      <c r="BF128" s="14"/>
      <c r="BH128" s="14"/>
    </row>
    <row r="129" spans="1:60" s="13" customFormat="1" x14ac:dyDescent="0.5">
      <c r="A129" s="12"/>
      <c r="B129" s="87"/>
      <c r="H129" s="95"/>
      <c r="I129" s="95"/>
      <c r="L129" s="95"/>
      <c r="M129" s="95"/>
      <c r="P129" s="95"/>
      <c r="Q129" s="95"/>
      <c r="T129" s="95"/>
      <c r="U129" s="95"/>
      <c r="X129" s="95"/>
      <c r="Y129" s="95"/>
      <c r="AB129" s="95"/>
      <c r="AC129" s="95"/>
      <c r="AF129" s="95"/>
      <c r="AG129" s="95"/>
      <c r="AJ129" s="95"/>
      <c r="AK129" s="95"/>
      <c r="AN129" s="95"/>
      <c r="AO129" s="95"/>
      <c r="AR129" s="95"/>
      <c r="AS129" s="95"/>
      <c r="BF129" s="14"/>
      <c r="BH129" s="14"/>
    </row>
    <row r="130" spans="1:60" s="13" customFormat="1" x14ac:dyDescent="0.5">
      <c r="A130" s="12"/>
      <c r="B130" s="87"/>
      <c r="H130" s="95"/>
      <c r="I130" s="95"/>
      <c r="L130" s="95"/>
      <c r="M130" s="95"/>
      <c r="P130" s="95"/>
      <c r="Q130" s="95"/>
      <c r="T130" s="95"/>
      <c r="U130" s="95"/>
      <c r="X130" s="95"/>
      <c r="Y130" s="95"/>
      <c r="AB130" s="95"/>
      <c r="AC130" s="95"/>
      <c r="AF130" s="95"/>
      <c r="AG130" s="95"/>
      <c r="AJ130" s="95"/>
      <c r="AK130" s="95"/>
      <c r="AN130" s="95"/>
      <c r="AO130" s="95"/>
      <c r="AR130" s="95"/>
      <c r="AS130" s="95"/>
      <c r="BF130" s="14"/>
      <c r="BH130" s="14"/>
    </row>
    <row r="131" spans="1:60" s="13" customFormat="1" x14ac:dyDescent="0.5">
      <c r="A131" s="12"/>
      <c r="B131" s="87"/>
      <c r="H131" s="95"/>
      <c r="I131" s="95"/>
      <c r="L131" s="95"/>
      <c r="M131" s="95"/>
      <c r="P131" s="95"/>
      <c r="Q131" s="95"/>
      <c r="T131" s="95"/>
      <c r="U131" s="95"/>
      <c r="X131" s="95"/>
      <c r="Y131" s="95"/>
      <c r="AB131" s="95"/>
      <c r="AC131" s="95"/>
      <c r="AF131" s="95"/>
      <c r="AG131" s="95"/>
      <c r="AJ131" s="95"/>
      <c r="AK131" s="95"/>
      <c r="AN131" s="95"/>
      <c r="AO131" s="95"/>
      <c r="AR131" s="95"/>
      <c r="AS131" s="95"/>
      <c r="BF131" s="14"/>
      <c r="BH131" s="14"/>
    </row>
    <row r="132" spans="1:60" s="13" customFormat="1" x14ac:dyDescent="0.5">
      <c r="A132" s="12"/>
      <c r="B132" s="87"/>
      <c r="H132" s="95"/>
      <c r="I132" s="95"/>
      <c r="L132" s="95"/>
      <c r="M132" s="95"/>
      <c r="P132" s="95"/>
      <c r="Q132" s="95"/>
      <c r="T132" s="95"/>
      <c r="U132" s="95"/>
      <c r="X132" s="95"/>
      <c r="Y132" s="95"/>
      <c r="AB132" s="95"/>
      <c r="AC132" s="95"/>
      <c r="AF132" s="95"/>
      <c r="AG132" s="95"/>
      <c r="AJ132" s="95"/>
      <c r="AK132" s="95"/>
      <c r="AN132" s="95"/>
      <c r="AO132" s="95"/>
      <c r="AR132" s="95"/>
      <c r="AS132" s="95"/>
      <c r="BF132" s="14"/>
      <c r="BH132" s="14"/>
    </row>
    <row r="133" spans="1:60" s="13" customFormat="1" x14ac:dyDescent="0.5">
      <c r="A133" s="12"/>
      <c r="B133" s="87"/>
      <c r="H133" s="95"/>
      <c r="I133" s="95"/>
      <c r="L133" s="95"/>
      <c r="M133" s="95"/>
      <c r="P133" s="95"/>
      <c r="Q133" s="95"/>
      <c r="T133" s="95"/>
      <c r="U133" s="95"/>
      <c r="X133" s="95"/>
      <c r="Y133" s="95"/>
      <c r="AB133" s="95"/>
      <c r="AC133" s="95"/>
      <c r="AF133" s="95"/>
      <c r="AG133" s="95"/>
      <c r="AJ133" s="95"/>
      <c r="AK133" s="95"/>
      <c r="AN133" s="95"/>
      <c r="AO133" s="95"/>
      <c r="AR133" s="95"/>
      <c r="AS133" s="95"/>
      <c r="BF133" s="14"/>
      <c r="BH133" s="14"/>
    </row>
    <row r="134" spans="1:60" s="13" customFormat="1" x14ac:dyDescent="0.5">
      <c r="A134" s="12"/>
      <c r="B134" s="87"/>
      <c r="H134" s="95"/>
      <c r="I134" s="95"/>
      <c r="L134" s="95"/>
      <c r="M134" s="95"/>
      <c r="P134" s="95"/>
      <c r="Q134" s="95"/>
      <c r="T134" s="95"/>
      <c r="U134" s="95"/>
      <c r="X134" s="95"/>
      <c r="Y134" s="95"/>
      <c r="AB134" s="95"/>
      <c r="AC134" s="95"/>
      <c r="AF134" s="95"/>
      <c r="AG134" s="95"/>
      <c r="AJ134" s="95"/>
      <c r="AK134" s="95"/>
      <c r="AN134" s="95"/>
      <c r="AO134" s="95"/>
      <c r="AR134" s="95"/>
      <c r="AS134" s="95"/>
      <c r="BF134" s="14"/>
      <c r="BH134" s="14"/>
    </row>
    <row r="135" spans="1:60" s="13" customFormat="1" x14ac:dyDescent="0.5">
      <c r="A135" s="12"/>
      <c r="B135" s="87"/>
      <c r="H135" s="95"/>
      <c r="I135" s="95"/>
      <c r="L135" s="95"/>
      <c r="M135" s="95"/>
      <c r="P135" s="95"/>
      <c r="Q135" s="95"/>
      <c r="T135" s="95"/>
      <c r="U135" s="95"/>
      <c r="X135" s="95"/>
      <c r="Y135" s="95"/>
      <c r="AB135" s="95"/>
      <c r="AC135" s="95"/>
      <c r="AF135" s="95"/>
      <c r="AG135" s="95"/>
      <c r="AJ135" s="95"/>
      <c r="AK135" s="95"/>
      <c r="AN135" s="95"/>
      <c r="AO135" s="95"/>
      <c r="AR135" s="95"/>
      <c r="AS135" s="95"/>
      <c r="BF135" s="14"/>
      <c r="BH135" s="14"/>
    </row>
    <row r="136" spans="1:60" s="13" customFormat="1" x14ac:dyDescent="0.5">
      <c r="A136" s="12"/>
      <c r="B136" s="87"/>
      <c r="H136" s="95"/>
      <c r="I136" s="95"/>
      <c r="L136" s="95"/>
      <c r="M136" s="95"/>
      <c r="P136" s="95"/>
      <c r="Q136" s="95"/>
      <c r="T136" s="95"/>
      <c r="U136" s="95"/>
      <c r="X136" s="95"/>
      <c r="Y136" s="95"/>
      <c r="AB136" s="95"/>
      <c r="AC136" s="95"/>
      <c r="AF136" s="95"/>
      <c r="AG136" s="95"/>
      <c r="AJ136" s="95"/>
      <c r="AK136" s="95"/>
      <c r="AN136" s="95"/>
      <c r="AO136" s="95"/>
      <c r="AR136" s="95"/>
      <c r="AS136" s="95"/>
      <c r="BF136" s="14"/>
      <c r="BH136" s="14"/>
    </row>
    <row r="137" spans="1:60" s="13" customFormat="1" x14ac:dyDescent="0.5">
      <c r="A137" s="12"/>
      <c r="B137" s="87"/>
      <c r="H137" s="95"/>
      <c r="I137" s="95"/>
      <c r="L137" s="95"/>
      <c r="M137" s="95"/>
      <c r="P137" s="95"/>
      <c r="Q137" s="95"/>
      <c r="T137" s="95"/>
      <c r="U137" s="95"/>
      <c r="X137" s="95"/>
      <c r="Y137" s="95"/>
      <c r="AB137" s="95"/>
      <c r="AC137" s="95"/>
      <c r="AF137" s="95"/>
      <c r="AG137" s="95"/>
      <c r="AJ137" s="95"/>
      <c r="AK137" s="95"/>
      <c r="AN137" s="95"/>
      <c r="AO137" s="95"/>
      <c r="AR137" s="95"/>
      <c r="AS137" s="95"/>
      <c r="BF137" s="14"/>
      <c r="BH137" s="14"/>
    </row>
    <row r="138" spans="1:60" s="13" customFormat="1" x14ac:dyDescent="0.5">
      <c r="A138" s="12"/>
      <c r="B138" s="87"/>
      <c r="H138" s="95"/>
      <c r="I138" s="95"/>
      <c r="L138" s="95"/>
      <c r="M138" s="95"/>
      <c r="P138" s="95"/>
      <c r="Q138" s="95"/>
      <c r="T138" s="95"/>
      <c r="U138" s="95"/>
      <c r="X138" s="95"/>
      <c r="Y138" s="95"/>
      <c r="AB138" s="95"/>
      <c r="AC138" s="95"/>
      <c r="AF138" s="95"/>
      <c r="AG138" s="95"/>
      <c r="AJ138" s="95"/>
      <c r="AK138" s="95"/>
      <c r="AN138" s="95"/>
      <c r="AO138" s="95"/>
      <c r="AR138" s="95"/>
      <c r="AS138" s="95"/>
      <c r="BF138" s="14"/>
      <c r="BH138" s="14"/>
    </row>
    <row r="139" spans="1:60" s="13" customFormat="1" x14ac:dyDescent="0.5">
      <c r="A139" s="12"/>
      <c r="B139" s="87"/>
      <c r="H139" s="95"/>
      <c r="I139" s="95"/>
      <c r="L139" s="95"/>
      <c r="M139" s="95"/>
      <c r="P139" s="95"/>
      <c r="Q139" s="95"/>
      <c r="T139" s="95"/>
      <c r="U139" s="95"/>
      <c r="X139" s="95"/>
      <c r="Y139" s="95"/>
      <c r="AB139" s="95"/>
      <c r="AC139" s="95"/>
      <c r="AF139" s="95"/>
      <c r="AG139" s="95"/>
      <c r="AJ139" s="95"/>
      <c r="AK139" s="95"/>
      <c r="AN139" s="95"/>
      <c r="AO139" s="95"/>
      <c r="AR139" s="95"/>
      <c r="AS139" s="95"/>
      <c r="BF139" s="14"/>
      <c r="BH139" s="14"/>
    </row>
    <row r="140" spans="1:60" s="13" customFormat="1" x14ac:dyDescent="0.5">
      <c r="A140" s="12"/>
      <c r="B140" s="87"/>
      <c r="H140" s="95"/>
      <c r="I140" s="95"/>
      <c r="L140" s="95"/>
      <c r="M140" s="95"/>
      <c r="P140" s="95"/>
      <c r="Q140" s="95"/>
      <c r="T140" s="95"/>
      <c r="U140" s="95"/>
      <c r="X140" s="95"/>
      <c r="Y140" s="95"/>
      <c r="AB140" s="95"/>
      <c r="AC140" s="95"/>
      <c r="AF140" s="95"/>
      <c r="AG140" s="95"/>
      <c r="AJ140" s="95"/>
      <c r="AK140" s="95"/>
      <c r="AN140" s="95"/>
      <c r="AO140" s="95"/>
      <c r="AR140" s="95"/>
      <c r="AS140" s="95"/>
      <c r="BF140" s="14"/>
      <c r="BH140" s="14"/>
    </row>
    <row r="141" spans="1:60" s="13" customFormat="1" x14ac:dyDescent="0.5">
      <c r="A141" s="12"/>
      <c r="B141" s="87"/>
      <c r="H141" s="95"/>
      <c r="I141" s="95"/>
      <c r="L141" s="95"/>
      <c r="M141" s="95"/>
      <c r="P141" s="95"/>
      <c r="Q141" s="95"/>
      <c r="T141" s="95"/>
      <c r="U141" s="95"/>
      <c r="X141" s="95"/>
      <c r="Y141" s="95"/>
      <c r="AB141" s="95"/>
      <c r="AC141" s="95"/>
      <c r="AF141" s="95"/>
      <c r="AG141" s="95"/>
      <c r="AJ141" s="95"/>
      <c r="AK141" s="95"/>
      <c r="AN141" s="95"/>
      <c r="AO141" s="95"/>
      <c r="AR141" s="95"/>
      <c r="AS141" s="95"/>
      <c r="BF141" s="14"/>
      <c r="BH141" s="14"/>
    </row>
    <row r="142" spans="1:60" s="13" customFormat="1" x14ac:dyDescent="0.5">
      <c r="A142" s="12"/>
      <c r="B142" s="87"/>
      <c r="H142" s="95"/>
      <c r="I142" s="95"/>
      <c r="L142" s="95"/>
      <c r="M142" s="95"/>
      <c r="P142" s="95"/>
      <c r="Q142" s="95"/>
      <c r="T142" s="95"/>
      <c r="U142" s="95"/>
      <c r="X142" s="95"/>
      <c r="Y142" s="95"/>
      <c r="AB142" s="95"/>
      <c r="AC142" s="95"/>
      <c r="AF142" s="95"/>
      <c r="AG142" s="95"/>
      <c r="AJ142" s="95"/>
      <c r="AK142" s="95"/>
      <c r="AN142" s="95"/>
      <c r="AO142" s="95"/>
      <c r="AR142" s="95"/>
      <c r="AS142" s="95"/>
      <c r="BF142" s="14"/>
      <c r="BH142" s="14"/>
    </row>
    <row r="143" spans="1:60" s="13" customFormat="1" x14ac:dyDescent="0.5">
      <c r="A143" s="12"/>
      <c r="B143" s="87"/>
      <c r="H143" s="95"/>
      <c r="I143" s="95"/>
      <c r="L143" s="95"/>
      <c r="M143" s="95"/>
      <c r="P143" s="95"/>
      <c r="Q143" s="95"/>
      <c r="T143" s="95"/>
      <c r="U143" s="95"/>
      <c r="X143" s="95"/>
      <c r="Y143" s="95"/>
      <c r="AB143" s="95"/>
      <c r="AC143" s="95"/>
      <c r="AF143" s="95"/>
      <c r="AG143" s="95"/>
      <c r="AJ143" s="95"/>
      <c r="AK143" s="95"/>
      <c r="AN143" s="95"/>
      <c r="AO143" s="95"/>
      <c r="AR143" s="95"/>
      <c r="AS143" s="95"/>
      <c r="BF143" s="14"/>
      <c r="BH143" s="14"/>
    </row>
    <row r="144" spans="1:60" s="13" customFormat="1" x14ac:dyDescent="0.5">
      <c r="A144" s="12"/>
      <c r="B144" s="87"/>
      <c r="H144" s="95"/>
      <c r="I144" s="95"/>
      <c r="L144" s="95"/>
      <c r="M144" s="95"/>
      <c r="P144" s="95"/>
      <c r="Q144" s="95"/>
      <c r="T144" s="95"/>
      <c r="U144" s="95"/>
      <c r="X144" s="95"/>
      <c r="Y144" s="95"/>
      <c r="AB144" s="95"/>
      <c r="AC144" s="95"/>
      <c r="AF144" s="95"/>
      <c r="AG144" s="95"/>
      <c r="AJ144" s="95"/>
      <c r="AK144" s="95"/>
      <c r="AN144" s="95"/>
      <c r="AO144" s="95"/>
      <c r="AR144" s="95"/>
      <c r="AS144" s="95"/>
      <c r="BF144" s="14"/>
      <c r="BH144" s="14"/>
    </row>
    <row r="145" spans="1:60" s="13" customFormat="1" x14ac:dyDescent="0.5">
      <c r="A145" s="12"/>
      <c r="B145" s="87"/>
      <c r="H145" s="95"/>
      <c r="I145" s="95"/>
      <c r="L145" s="95"/>
      <c r="M145" s="95"/>
      <c r="P145" s="95"/>
      <c r="Q145" s="95"/>
      <c r="T145" s="95"/>
      <c r="U145" s="95"/>
      <c r="X145" s="95"/>
      <c r="Y145" s="95"/>
      <c r="AB145" s="95"/>
      <c r="AC145" s="95"/>
      <c r="AF145" s="95"/>
      <c r="AG145" s="95"/>
      <c r="AJ145" s="95"/>
      <c r="AK145" s="95"/>
      <c r="AN145" s="95"/>
      <c r="AO145" s="95"/>
      <c r="AR145" s="95"/>
      <c r="AS145" s="95"/>
      <c r="BF145" s="14"/>
      <c r="BH145" s="14"/>
    </row>
    <row r="146" spans="1:60" s="13" customFormat="1" x14ac:dyDescent="0.5">
      <c r="A146" s="12"/>
      <c r="B146" s="87"/>
      <c r="H146" s="95"/>
      <c r="I146" s="95"/>
      <c r="L146" s="95"/>
      <c r="M146" s="95"/>
      <c r="P146" s="95"/>
      <c r="Q146" s="95"/>
      <c r="T146" s="95"/>
      <c r="U146" s="95"/>
      <c r="X146" s="95"/>
      <c r="Y146" s="95"/>
      <c r="AB146" s="95"/>
      <c r="AC146" s="95"/>
      <c r="AF146" s="95"/>
      <c r="AG146" s="95"/>
      <c r="AJ146" s="95"/>
      <c r="AK146" s="95"/>
      <c r="AN146" s="95"/>
      <c r="AO146" s="95"/>
      <c r="AR146" s="95"/>
      <c r="AS146" s="95"/>
      <c r="BF146" s="14"/>
      <c r="BH146" s="14"/>
    </row>
    <row r="147" spans="1:60" s="13" customFormat="1" x14ac:dyDescent="0.5">
      <c r="A147" s="12"/>
      <c r="B147" s="87"/>
      <c r="H147" s="95"/>
      <c r="I147" s="95"/>
      <c r="L147" s="95"/>
      <c r="M147" s="95"/>
      <c r="P147" s="95"/>
      <c r="Q147" s="95"/>
      <c r="T147" s="95"/>
      <c r="U147" s="95"/>
      <c r="X147" s="95"/>
      <c r="Y147" s="95"/>
      <c r="AB147" s="95"/>
      <c r="AC147" s="95"/>
      <c r="AF147" s="95"/>
      <c r="AG147" s="95"/>
      <c r="AJ147" s="95"/>
      <c r="AK147" s="95"/>
      <c r="AN147" s="95"/>
      <c r="AO147" s="95"/>
      <c r="AR147" s="95"/>
      <c r="AS147" s="95"/>
      <c r="BF147" s="14"/>
      <c r="BH147" s="14"/>
    </row>
    <row r="148" spans="1:60" s="13" customFormat="1" x14ac:dyDescent="0.5">
      <c r="A148" s="12"/>
      <c r="B148" s="87"/>
      <c r="H148" s="95"/>
      <c r="I148" s="95"/>
      <c r="L148" s="95"/>
      <c r="M148" s="95"/>
      <c r="P148" s="95"/>
      <c r="Q148" s="95"/>
      <c r="T148" s="95"/>
      <c r="U148" s="95"/>
      <c r="X148" s="95"/>
      <c r="Y148" s="95"/>
      <c r="AB148" s="95"/>
      <c r="AC148" s="95"/>
      <c r="AF148" s="95"/>
      <c r="AG148" s="95"/>
      <c r="AJ148" s="95"/>
      <c r="AK148" s="95"/>
      <c r="AN148" s="95"/>
      <c r="AO148" s="95"/>
      <c r="AR148" s="95"/>
      <c r="AS148" s="95"/>
      <c r="BF148" s="14"/>
      <c r="BH148" s="14"/>
    </row>
    <row r="149" spans="1:60" s="13" customFormat="1" x14ac:dyDescent="0.5">
      <c r="A149" s="12"/>
      <c r="B149" s="87"/>
      <c r="H149" s="95"/>
      <c r="I149" s="95"/>
      <c r="L149" s="95"/>
      <c r="M149" s="95"/>
      <c r="P149" s="95"/>
      <c r="Q149" s="95"/>
      <c r="T149" s="95"/>
      <c r="U149" s="95"/>
      <c r="X149" s="95"/>
      <c r="Y149" s="95"/>
      <c r="AB149" s="95"/>
      <c r="AC149" s="95"/>
      <c r="AF149" s="95"/>
      <c r="AG149" s="95"/>
      <c r="AJ149" s="95"/>
      <c r="AK149" s="95"/>
      <c r="AN149" s="95"/>
      <c r="AO149" s="95"/>
      <c r="AR149" s="95"/>
      <c r="AS149" s="95"/>
      <c r="BF149" s="14"/>
      <c r="BH149" s="14"/>
    </row>
  </sheetData>
  <mergeCells count="40">
    <mergeCell ref="J4:K5"/>
    <mergeCell ref="L4:M5"/>
    <mergeCell ref="A4:A5"/>
    <mergeCell ref="B4:B6"/>
    <mergeCell ref="D4:E5"/>
    <mergeCell ref="F4:G5"/>
    <mergeCell ref="H4:I5"/>
    <mergeCell ref="C4:C5"/>
    <mergeCell ref="AQ103:AS103"/>
    <mergeCell ref="AQ104:AS104"/>
    <mergeCell ref="BJ4:BK5"/>
    <mergeCell ref="N4:O5"/>
    <mergeCell ref="P4:Q5"/>
    <mergeCell ref="AH4:AI5"/>
    <mergeCell ref="AD4:AE5"/>
    <mergeCell ref="AF4:AG5"/>
    <mergeCell ref="R4:S5"/>
    <mergeCell ref="V4:W5"/>
    <mergeCell ref="AN4:AO5"/>
    <mergeCell ref="AP4:AQ5"/>
    <mergeCell ref="T4:U5"/>
    <mergeCell ref="X4:Y5"/>
    <mergeCell ref="Z4:AA5"/>
    <mergeCell ref="AB4:AC5"/>
    <mergeCell ref="AR4:AS5"/>
    <mergeCell ref="AJ4:AK5"/>
    <mergeCell ref="AL4:AM5"/>
    <mergeCell ref="BP4:BQ5"/>
    <mergeCell ref="AT105:AV105"/>
    <mergeCell ref="AT104:AV104"/>
    <mergeCell ref="AT103:AV103"/>
    <mergeCell ref="BD4:BE5"/>
    <mergeCell ref="BF4:BI5"/>
    <mergeCell ref="AT4:AU5"/>
    <mergeCell ref="AV4:AW5"/>
    <mergeCell ref="AX4:AY5"/>
    <mergeCell ref="AZ4:BA5"/>
    <mergeCell ref="BB4:BC5"/>
    <mergeCell ref="BL4:BM5"/>
    <mergeCell ref="BN4:BO5"/>
  </mergeCells>
  <pageMargins left="0.39370078740157483" right="0.15748031496062992" top="0.39370078740157483" bottom="0.39370078740157483" header="0.31496062992125984" footer="0.31496062992125984"/>
  <pageSetup paperSize="9" orientation="landscape" blackAndWhite="1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Y155"/>
  <sheetViews>
    <sheetView view="pageBreakPreview" zoomScale="90" zoomScaleNormal="100" zoomScaleSheetLayoutView="90" workbookViewId="0">
      <pane xSplit="3" ySplit="6" topLeftCell="CN20" activePane="bottomRight" state="frozen"/>
      <selection activeCell="A4" sqref="A4"/>
      <selection pane="topRight" activeCell="D4" sqref="D4"/>
      <selection pane="bottomLeft" activeCell="A7" sqref="A7"/>
      <selection pane="bottomRight" activeCell="CX100" sqref="CX10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2" hidden="1" customWidth="1"/>
    <col min="6" max="7" width="13.7109375" style="97" hidden="1" customWidth="1"/>
    <col min="8" max="9" width="13.7109375" style="2" hidden="1" customWidth="1"/>
    <col min="10" max="11" width="13.7109375" style="97" hidden="1" customWidth="1"/>
    <col min="12" max="13" width="13.7109375" style="2" hidden="1" customWidth="1"/>
    <col min="14" max="15" width="13.7109375" style="97" hidden="1" customWidth="1"/>
    <col min="16" max="17" width="13.7109375" style="2" hidden="1" customWidth="1"/>
    <col min="18" max="19" width="13.7109375" style="97" hidden="1" customWidth="1"/>
    <col min="20" max="21" width="13.7109375" style="2" hidden="1" customWidth="1"/>
    <col min="22" max="23" width="13.7109375" style="97" hidden="1" customWidth="1"/>
    <col min="24" max="25" width="13.7109375" style="2" hidden="1" customWidth="1"/>
    <col min="26" max="27" width="13.7109375" style="97" hidden="1" customWidth="1"/>
    <col min="28" max="29" width="13.7109375" style="2" hidden="1" customWidth="1"/>
    <col min="30" max="31" width="13.7109375" style="97" hidden="1" customWidth="1"/>
    <col min="32" max="33" width="13.7109375" style="2" hidden="1" customWidth="1"/>
    <col min="34" max="35" width="13.7109375" style="97" hidden="1" customWidth="1"/>
    <col min="36" max="37" width="13.7109375" style="2" hidden="1" customWidth="1"/>
    <col min="38" max="39" width="13.7109375" style="97" hidden="1" customWidth="1"/>
    <col min="40" max="41" width="13.7109375" style="2" hidden="1" customWidth="1"/>
    <col min="42" max="43" width="13.7109375" style="97" hidden="1" customWidth="1"/>
    <col min="44" max="45" width="13.7109375" style="2" hidden="1" customWidth="1"/>
    <col min="46" max="47" width="13.7109375" style="97" hidden="1" customWidth="1"/>
    <col min="48" max="49" width="13.7109375" style="2" hidden="1" customWidth="1"/>
    <col min="50" max="51" width="13.7109375" style="97" hidden="1" customWidth="1"/>
    <col min="52" max="53" width="13.7109375" style="155" customWidth="1"/>
    <col min="54" max="55" width="13.7109375" style="97" customWidth="1"/>
    <col min="56" max="57" width="13.7109375" style="2" customWidth="1"/>
    <col min="58" max="59" width="13.7109375" style="97" customWidth="1"/>
    <col min="60" max="61" width="13.7109375" style="2" customWidth="1"/>
    <col min="62" max="63" width="13.7109375" style="97" customWidth="1"/>
    <col min="64" max="65" width="13.7109375" style="2" customWidth="1"/>
    <col min="66" max="67" width="13.7109375" style="97" customWidth="1"/>
    <col min="68" max="69" width="13.7109375" style="2" customWidth="1"/>
    <col min="70" max="71" width="13.7109375" style="97" customWidth="1"/>
    <col min="72" max="73" width="13.7109375" style="2" customWidth="1"/>
    <col min="74" max="75" width="13.7109375" style="97" customWidth="1"/>
    <col min="76" max="77" width="13.7109375" style="2" customWidth="1"/>
    <col min="78" max="79" width="13.7109375" style="97" customWidth="1"/>
    <col min="80" max="81" width="13.7109375" style="2" customWidth="1"/>
    <col min="82" max="83" width="13.7109375" style="97" customWidth="1"/>
    <col min="84" max="85" width="13.7109375" style="2" customWidth="1"/>
    <col min="86" max="87" width="13.7109375" style="97" customWidth="1"/>
    <col min="88" max="89" width="13.7109375" style="2" customWidth="1"/>
    <col min="90" max="91" width="13.7109375" style="97" customWidth="1"/>
    <col min="92" max="93" width="13.7109375" style="2" customWidth="1"/>
    <col min="94" max="95" width="13.7109375" style="97" customWidth="1"/>
    <col min="96" max="97" width="13.7109375" style="2" customWidth="1"/>
    <col min="98" max="99" width="13.7109375" style="97" customWidth="1"/>
    <col min="100" max="101" width="13.7109375" style="2" customWidth="1"/>
    <col min="128" max="131" width="13.7109375" style="2" customWidth="1"/>
    <col min="132" max="16384" width="38.42578125" style="2"/>
  </cols>
  <sheetData>
    <row r="1" spans="1:101" s="13" customFormat="1" x14ac:dyDescent="0.5">
      <c r="A1" s="111" t="s">
        <v>166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</row>
    <row r="2" spans="1:101" x14ac:dyDescent="0.5">
      <c r="A2" s="111" t="s">
        <v>167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/>
      <c r="CW2" s="111"/>
    </row>
    <row r="3" spans="1:101" x14ac:dyDescent="0.5">
      <c r="A3" s="4" t="s">
        <v>210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156"/>
      <c r="AZ3" s="4"/>
      <c r="BA3" s="4"/>
      <c r="BB3" s="4"/>
      <c r="BC3" s="156"/>
      <c r="BD3" s="4"/>
      <c r="BE3" s="4"/>
      <c r="BF3" s="4"/>
      <c r="BG3" s="156"/>
      <c r="BH3" s="4"/>
      <c r="BI3" s="4"/>
      <c r="BJ3" s="4"/>
      <c r="BK3" s="156"/>
      <c r="BL3" s="4"/>
      <c r="BM3" s="4"/>
      <c r="BN3" s="4"/>
      <c r="BO3" s="156"/>
      <c r="BP3" s="4"/>
      <c r="BQ3" s="4"/>
      <c r="BR3" s="4"/>
      <c r="BS3" s="156"/>
      <c r="BT3" s="4"/>
      <c r="BU3" s="4"/>
      <c r="BV3" s="4"/>
      <c r="BW3" s="156"/>
      <c r="BX3" s="4"/>
      <c r="BY3" s="4"/>
      <c r="BZ3" s="4"/>
      <c r="CA3" s="156"/>
      <c r="CB3" s="4"/>
      <c r="CC3" s="4"/>
      <c r="CD3" s="4"/>
      <c r="CE3" s="156"/>
      <c r="CF3" s="4"/>
      <c r="CG3" s="4"/>
      <c r="CH3" s="4"/>
      <c r="CI3" s="156"/>
      <c r="CJ3" s="4"/>
      <c r="CK3" s="4"/>
      <c r="CL3" s="4"/>
      <c r="CM3" s="156"/>
      <c r="CN3" s="4"/>
      <c r="CO3" s="4"/>
      <c r="CP3" s="4"/>
      <c r="CQ3" s="156"/>
      <c r="CR3" s="4"/>
      <c r="CS3" s="4"/>
      <c r="CT3" s="4"/>
      <c r="CU3" s="156"/>
      <c r="CV3" s="4"/>
      <c r="CW3" s="4"/>
    </row>
    <row r="4" spans="1:101" s="57" customFormat="1" ht="18.75" customHeight="1" x14ac:dyDescent="0.5">
      <c r="A4" s="318" t="s">
        <v>203</v>
      </c>
      <c r="B4" s="324" t="s">
        <v>29</v>
      </c>
      <c r="C4" s="317" t="s">
        <v>95</v>
      </c>
      <c r="D4" s="314" t="s">
        <v>30</v>
      </c>
      <c r="E4" s="314"/>
      <c r="F4" s="325">
        <v>21336</v>
      </c>
      <c r="G4" s="325"/>
      <c r="H4" s="314" t="s">
        <v>9</v>
      </c>
      <c r="I4" s="314"/>
      <c r="J4" s="325">
        <v>21366</v>
      </c>
      <c r="K4" s="325"/>
      <c r="L4" s="314" t="s">
        <v>9</v>
      </c>
      <c r="M4" s="314"/>
      <c r="N4" s="325">
        <v>21397</v>
      </c>
      <c r="O4" s="325"/>
      <c r="P4" s="314" t="s">
        <v>9</v>
      </c>
      <c r="Q4" s="314"/>
      <c r="R4" s="325">
        <v>21428</v>
      </c>
      <c r="S4" s="325"/>
      <c r="T4" s="314" t="s">
        <v>9</v>
      </c>
      <c r="U4" s="314"/>
      <c r="V4" s="325">
        <v>21458</v>
      </c>
      <c r="W4" s="325"/>
      <c r="X4" s="314" t="s">
        <v>9</v>
      </c>
      <c r="Y4" s="314"/>
      <c r="Z4" s="325">
        <v>21489</v>
      </c>
      <c r="AA4" s="325"/>
      <c r="AB4" s="314" t="s">
        <v>9</v>
      </c>
      <c r="AC4" s="314"/>
      <c r="AD4" s="325">
        <v>21519</v>
      </c>
      <c r="AE4" s="325"/>
      <c r="AF4" s="314" t="s">
        <v>9</v>
      </c>
      <c r="AG4" s="314"/>
      <c r="AH4" s="325">
        <v>21550</v>
      </c>
      <c r="AI4" s="325"/>
      <c r="AJ4" s="314" t="s">
        <v>9</v>
      </c>
      <c r="AK4" s="314"/>
      <c r="AL4" s="325">
        <v>21581</v>
      </c>
      <c r="AM4" s="325"/>
      <c r="AN4" s="314" t="s">
        <v>9</v>
      </c>
      <c r="AO4" s="314"/>
      <c r="AP4" s="325">
        <v>21607</v>
      </c>
      <c r="AQ4" s="325"/>
      <c r="AR4" s="314" t="s">
        <v>9</v>
      </c>
      <c r="AS4" s="314"/>
      <c r="AT4" s="325">
        <v>240784</v>
      </c>
      <c r="AU4" s="325"/>
      <c r="AV4" s="314" t="s">
        <v>9</v>
      </c>
      <c r="AW4" s="314"/>
      <c r="AX4" s="325">
        <v>21670</v>
      </c>
      <c r="AY4" s="325"/>
      <c r="AZ4" s="330" t="s">
        <v>205</v>
      </c>
      <c r="BA4" s="330"/>
      <c r="BB4" s="325">
        <v>21701</v>
      </c>
      <c r="BC4" s="322"/>
      <c r="BD4" s="314" t="s">
        <v>31</v>
      </c>
      <c r="BE4" s="314"/>
      <c r="BF4" s="325">
        <v>21728</v>
      </c>
      <c r="BG4" s="322"/>
      <c r="BH4" s="314" t="s">
        <v>31</v>
      </c>
      <c r="BI4" s="314"/>
      <c r="BJ4" s="325">
        <v>21751</v>
      </c>
      <c r="BK4" s="322"/>
      <c r="BL4" s="314" t="s">
        <v>31</v>
      </c>
      <c r="BM4" s="314"/>
      <c r="BN4" s="325">
        <v>21787</v>
      </c>
      <c r="BO4" s="322"/>
      <c r="BP4" s="314" t="s">
        <v>172</v>
      </c>
      <c r="BQ4" s="314"/>
      <c r="BR4" s="325">
        <v>21823</v>
      </c>
      <c r="BS4" s="322"/>
      <c r="BT4" s="314" t="s">
        <v>172</v>
      </c>
      <c r="BU4" s="314"/>
      <c r="BV4" s="325">
        <v>21848</v>
      </c>
      <c r="BW4" s="322"/>
      <c r="BX4" s="314" t="s">
        <v>172</v>
      </c>
      <c r="BY4" s="314"/>
      <c r="BZ4" s="325">
        <v>21879</v>
      </c>
      <c r="CA4" s="322"/>
      <c r="CB4" s="314" t="s">
        <v>172</v>
      </c>
      <c r="CC4" s="314"/>
      <c r="CD4" s="325">
        <v>21914</v>
      </c>
      <c r="CE4" s="322"/>
      <c r="CF4" s="314" t="s">
        <v>172</v>
      </c>
      <c r="CG4" s="314"/>
      <c r="CH4" s="325">
        <v>21940</v>
      </c>
      <c r="CI4" s="322"/>
      <c r="CJ4" s="314" t="s">
        <v>172</v>
      </c>
      <c r="CK4" s="314"/>
      <c r="CL4" s="325">
        <v>21974</v>
      </c>
      <c r="CM4" s="322"/>
      <c r="CN4" s="314" t="s">
        <v>172</v>
      </c>
      <c r="CO4" s="314"/>
      <c r="CP4" s="325">
        <v>22006</v>
      </c>
      <c r="CQ4" s="322"/>
      <c r="CR4" s="326" t="s">
        <v>172</v>
      </c>
      <c r="CS4" s="327"/>
      <c r="CT4" s="325">
        <v>22032</v>
      </c>
      <c r="CU4" s="322"/>
      <c r="CV4" s="326" t="s">
        <v>172</v>
      </c>
      <c r="CW4" s="327"/>
    </row>
    <row r="5" spans="1:101" s="57" customFormat="1" ht="18.75" customHeight="1" x14ac:dyDescent="0.5">
      <c r="A5" s="331"/>
      <c r="B5" s="324"/>
      <c r="C5" s="317"/>
      <c r="D5" s="314"/>
      <c r="E5" s="314"/>
      <c r="F5" s="325"/>
      <c r="G5" s="325"/>
      <c r="H5" s="314"/>
      <c r="I5" s="314"/>
      <c r="J5" s="325"/>
      <c r="K5" s="325"/>
      <c r="L5" s="314"/>
      <c r="M5" s="314"/>
      <c r="N5" s="325"/>
      <c r="O5" s="325"/>
      <c r="P5" s="314"/>
      <c r="Q5" s="314"/>
      <c r="R5" s="325"/>
      <c r="S5" s="325"/>
      <c r="T5" s="314"/>
      <c r="U5" s="314"/>
      <c r="V5" s="325"/>
      <c r="W5" s="325"/>
      <c r="X5" s="314"/>
      <c r="Y5" s="314"/>
      <c r="Z5" s="325"/>
      <c r="AA5" s="325"/>
      <c r="AB5" s="314"/>
      <c r="AC5" s="314"/>
      <c r="AD5" s="325"/>
      <c r="AE5" s="325"/>
      <c r="AF5" s="314"/>
      <c r="AG5" s="314"/>
      <c r="AH5" s="325"/>
      <c r="AI5" s="325"/>
      <c r="AJ5" s="314"/>
      <c r="AK5" s="314"/>
      <c r="AL5" s="325"/>
      <c r="AM5" s="325"/>
      <c r="AN5" s="314"/>
      <c r="AO5" s="314"/>
      <c r="AP5" s="325"/>
      <c r="AQ5" s="325"/>
      <c r="AR5" s="314"/>
      <c r="AS5" s="314"/>
      <c r="AT5" s="325"/>
      <c r="AU5" s="325"/>
      <c r="AV5" s="314"/>
      <c r="AW5" s="314"/>
      <c r="AX5" s="325"/>
      <c r="AY5" s="325"/>
      <c r="AZ5" s="330"/>
      <c r="BA5" s="330"/>
      <c r="BB5" s="322"/>
      <c r="BC5" s="322"/>
      <c r="BD5" s="314"/>
      <c r="BE5" s="314"/>
      <c r="BF5" s="322"/>
      <c r="BG5" s="322"/>
      <c r="BH5" s="314"/>
      <c r="BI5" s="314"/>
      <c r="BJ5" s="322"/>
      <c r="BK5" s="322"/>
      <c r="BL5" s="314"/>
      <c r="BM5" s="314"/>
      <c r="BN5" s="322"/>
      <c r="BO5" s="322"/>
      <c r="BP5" s="314"/>
      <c r="BQ5" s="314"/>
      <c r="BR5" s="322"/>
      <c r="BS5" s="322"/>
      <c r="BT5" s="314"/>
      <c r="BU5" s="314"/>
      <c r="BV5" s="322"/>
      <c r="BW5" s="322"/>
      <c r="BX5" s="314"/>
      <c r="BY5" s="314"/>
      <c r="BZ5" s="322"/>
      <c r="CA5" s="322"/>
      <c r="CB5" s="314"/>
      <c r="CC5" s="314"/>
      <c r="CD5" s="322"/>
      <c r="CE5" s="322"/>
      <c r="CF5" s="314"/>
      <c r="CG5" s="314"/>
      <c r="CH5" s="322"/>
      <c r="CI5" s="322"/>
      <c r="CJ5" s="314"/>
      <c r="CK5" s="314"/>
      <c r="CL5" s="322"/>
      <c r="CM5" s="322"/>
      <c r="CN5" s="314"/>
      <c r="CO5" s="314"/>
      <c r="CP5" s="322"/>
      <c r="CQ5" s="322"/>
      <c r="CR5" s="328"/>
      <c r="CS5" s="329"/>
      <c r="CT5" s="322"/>
      <c r="CU5" s="322"/>
      <c r="CV5" s="328"/>
      <c r="CW5" s="329"/>
    </row>
    <row r="6" spans="1:101" s="57" customFormat="1" x14ac:dyDescent="0.5">
      <c r="A6" s="332"/>
      <c r="B6" s="324"/>
      <c r="C6" s="147" t="s">
        <v>96</v>
      </c>
      <c r="D6" s="58" t="s">
        <v>38</v>
      </c>
      <c r="E6" s="58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151" t="s">
        <v>38</v>
      </c>
      <c r="BA6" s="151" t="s">
        <v>39</v>
      </c>
      <c r="BB6" s="89" t="s">
        <v>38</v>
      </c>
      <c r="BC6" s="89" t="s">
        <v>39</v>
      </c>
      <c r="BD6" s="58" t="s">
        <v>38</v>
      </c>
      <c r="BE6" s="58" t="s">
        <v>39</v>
      </c>
      <c r="BF6" s="89" t="s">
        <v>38</v>
      </c>
      <c r="BG6" s="89" t="s">
        <v>39</v>
      </c>
      <c r="BH6" s="58" t="s">
        <v>38</v>
      </c>
      <c r="BI6" s="58" t="s">
        <v>39</v>
      </c>
      <c r="BJ6" s="89" t="s">
        <v>38</v>
      </c>
      <c r="BK6" s="89" t="s">
        <v>39</v>
      </c>
      <c r="BL6" s="58" t="s">
        <v>38</v>
      </c>
      <c r="BM6" s="58" t="s">
        <v>39</v>
      </c>
      <c r="BN6" s="89" t="s">
        <v>38</v>
      </c>
      <c r="BO6" s="89" t="s">
        <v>39</v>
      </c>
      <c r="BP6" s="58" t="s">
        <v>38</v>
      </c>
      <c r="BQ6" s="58" t="s">
        <v>39</v>
      </c>
      <c r="BR6" s="89" t="s">
        <v>38</v>
      </c>
      <c r="BS6" s="89" t="s">
        <v>39</v>
      </c>
      <c r="BT6" s="58" t="s">
        <v>38</v>
      </c>
      <c r="BU6" s="58" t="s">
        <v>39</v>
      </c>
      <c r="BV6" s="89" t="s">
        <v>38</v>
      </c>
      <c r="BW6" s="89" t="s">
        <v>39</v>
      </c>
      <c r="BX6" s="58" t="s">
        <v>38</v>
      </c>
      <c r="BY6" s="58" t="s">
        <v>39</v>
      </c>
      <c r="BZ6" s="89" t="s">
        <v>38</v>
      </c>
      <c r="CA6" s="89" t="s">
        <v>39</v>
      </c>
      <c r="CB6" s="58" t="s">
        <v>38</v>
      </c>
      <c r="CC6" s="58" t="s">
        <v>39</v>
      </c>
      <c r="CD6" s="89" t="s">
        <v>38</v>
      </c>
      <c r="CE6" s="89" t="s">
        <v>39</v>
      </c>
      <c r="CF6" s="58" t="s">
        <v>38</v>
      </c>
      <c r="CG6" s="58" t="s">
        <v>39</v>
      </c>
      <c r="CH6" s="89" t="s">
        <v>38</v>
      </c>
      <c r="CI6" s="89" t="s">
        <v>39</v>
      </c>
      <c r="CJ6" s="58" t="s">
        <v>38</v>
      </c>
      <c r="CK6" s="58" t="s">
        <v>39</v>
      </c>
      <c r="CL6" s="89" t="s">
        <v>38</v>
      </c>
      <c r="CM6" s="89" t="s">
        <v>39</v>
      </c>
      <c r="CN6" s="58" t="s">
        <v>38</v>
      </c>
      <c r="CO6" s="58" t="s">
        <v>39</v>
      </c>
      <c r="CP6" s="89" t="s">
        <v>38</v>
      </c>
      <c r="CQ6" s="89" t="s">
        <v>39</v>
      </c>
      <c r="CR6" s="58" t="s">
        <v>38</v>
      </c>
      <c r="CS6" s="58" t="s">
        <v>39</v>
      </c>
      <c r="CT6" s="89" t="s">
        <v>38</v>
      </c>
      <c r="CU6" s="89" t="s">
        <v>39</v>
      </c>
      <c r="CV6" s="58" t="s">
        <v>38</v>
      </c>
      <c r="CW6" s="58" t="s">
        <v>39</v>
      </c>
    </row>
    <row r="7" spans="1:101" ht="24" x14ac:dyDescent="0.55000000000000004">
      <c r="A7" s="67">
        <v>1</v>
      </c>
      <c r="B7" s="81" t="s">
        <v>1</v>
      </c>
      <c r="C7" s="67">
        <v>5</v>
      </c>
      <c r="D7" s="68">
        <f>+'กระดาษทำการ 30 เม.ย.58'!BP10</f>
        <v>57465.259999999776</v>
      </c>
      <c r="E7" s="68">
        <f>+'กระดาษทำการ 30 เม.ย.58'!BQ10</f>
        <v>0</v>
      </c>
      <c r="F7" s="119">
        <f>270000+25430</f>
        <v>295430</v>
      </c>
      <c r="G7" s="119">
        <f>15511+500+15100+6625+10000+288000+12176+1300+1000+500</f>
        <v>350712</v>
      </c>
      <c r="H7" s="68">
        <f t="shared" ref="H7:H14" si="0">+D7+F7-G7</f>
        <v>2183.2599999997765</v>
      </c>
      <c r="I7" s="68"/>
      <c r="J7" s="119">
        <f>37077.83+30000</f>
        <v>67077.83</v>
      </c>
      <c r="K7" s="119">
        <f>21967.96+30188+750+500+750+500+2818.69</f>
        <v>57474.65</v>
      </c>
      <c r="L7" s="68">
        <f t="shared" ref="L7:L14" si="1">+H7+J7-K7</f>
        <v>11786.439999999777</v>
      </c>
      <c r="M7" s="68"/>
      <c r="N7" s="119">
        <f>900+1000+350595.94+420</f>
        <v>352915.94</v>
      </c>
      <c r="O7" s="119">
        <f>7570+3318.69+322400+8432+7370</f>
        <v>349090.69</v>
      </c>
      <c r="P7" s="68">
        <f t="shared" ref="P7:P14" si="2">+L7+N7-O7</f>
        <v>15611.689999999769</v>
      </c>
      <c r="Q7" s="68"/>
      <c r="R7" s="92">
        <f>30000+700+1500</f>
        <v>32200</v>
      </c>
      <c r="S7" s="92">
        <f>14043+610+520+8270+205</f>
        <v>23648</v>
      </c>
      <c r="T7" s="68">
        <f>+P7+R7-S7</f>
        <v>24163.689999999769</v>
      </c>
      <c r="U7" s="68"/>
      <c r="V7" s="92">
        <v>14740</v>
      </c>
      <c r="W7" s="92">
        <f>47+130+1000+8970+700+1140</f>
        <v>11987</v>
      </c>
      <c r="X7" s="68">
        <f>+T7+V7-W7</f>
        <v>26916.689999999769</v>
      </c>
      <c r="Y7" s="68"/>
      <c r="Z7" s="120">
        <f>60+186494.17+100+100</f>
        <v>186754.17</v>
      </c>
      <c r="AA7" s="121">
        <f>14740+1618.69+500+870+157643.95+900+16781+1100</f>
        <v>194153.64</v>
      </c>
      <c r="AB7" s="68">
        <f t="shared" ref="AB7:AB14" si="3">+X7+Z7-AA7</f>
        <v>19517.219999999768</v>
      </c>
      <c r="AC7" s="68"/>
      <c r="AD7" s="92">
        <f>29581.16+27026.98+3500+20+16000+290+1000</f>
        <v>77418.14</v>
      </c>
      <c r="AE7" s="92">
        <f>10000+46000+1700+5000+15310+500+1500+400+400+11580</f>
        <v>92390</v>
      </c>
      <c r="AF7" s="68">
        <f t="shared" ref="AF7:AF14" si="4">+AB7+AD7-AE7</f>
        <v>4545.3599999997678</v>
      </c>
      <c r="AG7" s="68"/>
      <c r="AH7" s="91">
        <f>50000+790+1000+400+1500</f>
        <v>53690</v>
      </c>
      <c r="AI7" s="91">
        <f>30150+330+816.69+300</f>
        <v>31596.69</v>
      </c>
      <c r="AJ7" s="68">
        <f t="shared" ref="AJ7:AJ14" si="5">+AF7+AH7-AI7</f>
        <v>26638.669999999769</v>
      </c>
      <c r="AK7" s="68"/>
      <c r="AL7" s="91">
        <f>39263.4+88305.63+347335.16+356566.8+1000+429.68+21700</f>
        <v>854600.67</v>
      </c>
      <c r="AM7" s="91">
        <f>38270+84900+346200+352900+1190+40+20300</f>
        <v>843800</v>
      </c>
      <c r="AN7" s="68">
        <f>+AJ7+AL7-AM7</f>
        <v>37439.339999999851</v>
      </c>
      <c r="AO7" s="68"/>
      <c r="AP7" s="91">
        <v>564628.1</v>
      </c>
      <c r="AQ7" s="91">
        <f>568880+300</f>
        <v>569180</v>
      </c>
      <c r="AR7" s="68">
        <f t="shared" ref="AR7:AR14" si="6">+AN7+AP7-AQ7</f>
        <v>32887.439999999828</v>
      </c>
      <c r="AS7" s="68"/>
      <c r="AT7" s="92">
        <f>334073.07+5291.79+459965.95+500+4090</f>
        <v>803920.81</v>
      </c>
      <c r="AU7" s="92">
        <f>525+20+334462.73+300+500+459970+475+600</f>
        <v>796852.73</v>
      </c>
      <c r="AV7" s="68">
        <f t="shared" ref="AV7:AV14" si="7">+AR7+AT7-AU7</f>
        <v>39955.519999999902</v>
      </c>
      <c r="AW7" s="68"/>
      <c r="AX7" s="91">
        <v>1172768.96</v>
      </c>
      <c r="AY7" s="91">
        <f>108280.63+697417+675+810+180825+174720.09+1810.36</f>
        <v>1164538.08</v>
      </c>
      <c r="AZ7" s="152">
        <v>48185.4</v>
      </c>
      <c r="BA7" s="152"/>
      <c r="BB7" s="91">
        <v>68312.240000000005</v>
      </c>
      <c r="BC7" s="91">
        <v>75171.100000000006</v>
      </c>
      <c r="BD7" s="68">
        <f t="shared" ref="BD7:BD14" si="8">+AZ7+BB7-BC7</f>
        <v>41326.540000000008</v>
      </c>
      <c r="BE7" s="68"/>
      <c r="BF7" s="91">
        <v>2238.9299999999998</v>
      </c>
      <c r="BG7" s="91">
        <v>15528.93</v>
      </c>
      <c r="BH7" s="68">
        <f t="shared" ref="BH7:BH14" si="9">+BD7+BF7-BG7</f>
        <v>28036.540000000008</v>
      </c>
      <c r="BI7" s="68"/>
      <c r="BJ7" s="91">
        <v>90240</v>
      </c>
      <c r="BK7" s="91">
        <v>93090</v>
      </c>
      <c r="BL7" s="68">
        <f t="shared" ref="BL7:BL14" si="10">+BH7+BJ7-BK7</f>
        <v>25186.540000000008</v>
      </c>
      <c r="BM7" s="68"/>
      <c r="BN7" s="91">
        <v>339148.49</v>
      </c>
      <c r="BO7" s="91">
        <v>338168.89</v>
      </c>
      <c r="BP7" s="68">
        <f t="shared" ref="BP7:BP14" si="11">+BL7+BN7-BO7</f>
        <v>26166.140000000014</v>
      </c>
      <c r="BQ7" s="68"/>
      <c r="BR7" s="91">
        <v>38009.129999999997</v>
      </c>
      <c r="BS7" s="91">
        <v>44649.84</v>
      </c>
      <c r="BT7" s="68">
        <f t="shared" ref="BT7:BT14" si="12">BP7+BR7-BS7</f>
        <v>19525.430000000015</v>
      </c>
      <c r="BU7" s="68"/>
      <c r="BV7" s="91">
        <v>53942.32</v>
      </c>
      <c r="BW7" s="91">
        <v>69208.17</v>
      </c>
      <c r="BX7" s="68">
        <f t="shared" ref="BX7:BX14" si="13">BT7+BV7-BW7</f>
        <v>4259.5800000000163</v>
      </c>
      <c r="BY7" s="68"/>
      <c r="BZ7" s="91">
        <v>120759.12</v>
      </c>
      <c r="CA7" s="91">
        <v>117451</v>
      </c>
      <c r="CB7" s="68">
        <f t="shared" ref="CB7:CB14" si="14">BX7+BZ7-CA7</f>
        <v>7567.7000000000116</v>
      </c>
      <c r="CC7" s="68"/>
      <c r="CD7" s="91">
        <v>101507.37</v>
      </c>
      <c r="CE7" s="91">
        <v>72215.28</v>
      </c>
      <c r="CF7" s="68">
        <f t="shared" ref="CF7:CF14" si="15">CB7+CD7-CE7</f>
        <v>36859.790000000008</v>
      </c>
      <c r="CG7" s="68"/>
      <c r="CH7" s="91">
        <v>412339.87</v>
      </c>
      <c r="CI7" s="91">
        <v>438927</v>
      </c>
      <c r="CJ7" s="68">
        <f t="shared" ref="CJ7:CJ14" si="16">CF7+CH7-CI7</f>
        <v>10272.660000000033</v>
      </c>
      <c r="CK7" s="68"/>
      <c r="CL7" s="91">
        <v>905653.44</v>
      </c>
      <c r="CM7" s="91">
        <v>889947</v>
      </c>
      <c r="CN7" s="68">
        <f t="shared" ref="CN7:CN14" si="17">CJ7+CL7-CM7</f>
        <v>25979.099999999977</v>
      </c>
      <c r="CO7" s="68"/>
      <c r="CP7" s="91">
        <v>1021176.03</v>
      </c>
      <c r="CQ7" s="91">
        <v>1024411.12</v>
      </c>
      <c r="CR7" s="68">
        <f t="shared" ref="CR7:CR14" si="18">CN7+CP7-CQ7</f>
        <v>22744.010000000009</v>
      </c>
      <c r="CS7" s="68"/>
      <c r="CT7" s="91">
        <v>1225670.23</v>
      </c>
      <c r="CU7" s="91">
        <v>1214854.69</v>
      </c>
      <c r="CV7" s="68">
        <f t="shared" ref="CV7:CV14" si="19">CR7+CT7-CU7</f>
        <v>33559.550000000047</v>
      </c>
      <c r="CW7" s="68"/>
    </row>
    <row r="8" spans="1:101" ht="24" x14ac:dyDescent="0.55000000000000004">
      <c r="A8" s="67">
        <v>2</v>
      </c>
      <c r="B8" s="81" t="s">
        <v>40</v>
      </c>
      <c r="C8" s="67">
        <v>22</v>
      </c>
      <c r="D8" s="102">
        <f>+'กระดาษทำการ 30 เม.ย.58'!BP11</f>
        <v>349807.45999999973</v>
      </c>
      <c r="E8" s="68">
        <f>+'กระดาษทำการ 30 เม.ย.58'!BQ11</f>
        <v>0</v>
      </c>
      <c r="F8" s="119">
        <f>15100+14800</f>
        <v>29900</v>
      </c>
      <c r="G8" s="119">
        <v>270000</v>
      </c>
      <c r="H8" s="68">
        <f t="shared" si="0"/>
        <v>109707.45999999973</v>
      </c>
      <c r="I8" s="68"/>
      <c r="J8" s="119">
        <f>7370+7370</f>
        <v>14740</v>
      </c>
      <c r="K8" s="119">
        <v>30000</v>
      </c>
      <c r="L8" s="68">
        <f t="shared" si="1"/>
        <v>94447.45999999973</v>
      </c>
      <c r="M8" s="68"/>
      <c r="N8" s="119">
        <f>7370+7370</f>
        <v>14740</v>
      </c>
      <c r="O8" s="119"/>
      <c r="P8" s="68">
        <f t="shared" si="2"/>
        <v>109187.45999999973</v>
      </c>
      <c r="Q8" s="68"/>
      <c r="R8" s="92"/>
      <c r="S8" s="92">
        <v>30000</v>
      </c>
      <c r="T8" s="68">
        <f>+P8+R8-S8</f>
        <v>79187.45999999973</v>
      </c>
      <c r="U8" s="68"/>
      <c r="V8" s="92">
        <v>413.88</v>
      </c>
      <c r="W8" s="92"/>
      <c r="X8" s="68">
        <f>+T8+V8-W8</f>
        <v>79601.339999999735</v>
      </c>
      <c r="Y8" s="68"/>
      <c r="Z8" s="120">
        <f>7370+7370+60000+7370</f>
        <v>82110</v>
      </c>
      <c r="AA8" s="122"/>
      <c r="AB8" s="68">
        <f t="shared" si="3"/>
        <v>161711.33999999973</v>
      </c>
      <c r="AC8" s="68"/>
      <c r="AD8" s="92"/>
      <c r="AE8" s="92"/>
      <c r="AF8" s="68">
        <f t="shared" si="4"/>
        <v>161711.33999999973</v>
      </c>
      <c r="AG8" s="68"/>
      <c r="AH8" s="91"/>
      <c r="AI8" s="91">
        <v>50000</v>
      </c>
      <c r="AJ8" s="68">
        <f t="shared" si="5"/>
        <v>111711.33999999973</v>
      </c>
      <c r="AK8" s="68"/>
      <c r="AL8" s="91">
        <f>30000+75000+80000+30000+20000</f>
        <v>235000</v>
      </c>
      <c r="AM8" s="91">
        <v>235000</v>
      </c>
      <c r="AN8" s="68">
        <f>+AJ8+AL8-AM8</f>
        <v>111711.33999999973</v>
      </c>
      <c r="AO8" s="68"/>
      <c r="AP8" s="91"/>
      <c r="AQ8" s="91"/>
      <c r="AR8" s="68">
        <f t="shared" si="6"/>
        <v>111711.33999999973</v>
      </c>
      <c r="AS8" s="68"/>
      <c r="AT8" s="91">
        <f>31620+11280+22560+8200+315.8</f>
        <v>73975.8</v>
      </c>
      <c r="AU8" s="91"/>
      <c r="AV8" s="68">
        <f t="shared" si="7"/>
        <v>185687.13999999972</v>
      </c>
      <c r="AW8" s="68"/>
      <c r="AX8" s="91">
        <f>67461+36617+70000+11280</f>
        <v>185358</v>
      </c>
      <c r="AY8" s="91"/>
      <c r="AZ8" s="152">
        <f>+AV8+AX8-AY8</f>
        <v>371045.13999999972</v>
      </c>
      <c r="BA8" s="152"/>
      <c r="BB8" s="91"/>
      <c r="BC8" s="91">
        <v>50000</v>
      </c>
      <c r="BD8" s="68">
        <f t="shared" si="8"/>
        <v>321045.13999999972</v>
      </c>
      <c r="BE8" s="68"/>
      <c r="BF8" s="91">
        <v>11280</v>
      </c>
      <c r="BG8" s="91"/>
      <c r="BH8" s="68">
        <f t="shared" si="9"/>
        <v>332325.13999999972</v>
      </c>
      <c r="BI8" s="68"/>
      <c r="BJ8" s="91">
        <v>11280</v>
      </c>
      <c r="BK8" s="91"/>
      <c r="BL8" s="68">
        <f t="shared" si="10"/>
        <v>343605.13999999972</v>
      </c>
      <c r="BM8" s="68"/>
      <c r="BN8" s="91">
        <v>22965</v>
      </c>
      <c r="BO8" s="91"/>
      <c r="BP8" s="68">
        <f t="shared" si="11"/>
        <v>366570.13999999972</v>
      </c>
      <c r="BQ8" s="68"/>
      <c r="BR8" s="91">
        <v>819.51</v>
      </c>
      <c r="BS8" s="91"/>
      <c r="BT8" s="68">
        <f t="shared" si="12"/>
        <v>367389.64999999973</v>
      </c>
      <c r="BU8" s="68"/>
      <c r="BV8" s="91">
        <v>27344</v>
      </c>
      <c r="BW8" s="91">
        <v>34280</v>
      </c>
      <c r="BX8" s="68">
        <f t="shared" si="13"/>
        <v>360453.64999999973</v>
      </c>
      <c r="BY8" s="68"/>
      <c r="BZ8" s="91"/>
      <c r="CA8" s="91"/>
      <c r="CB8" s="68">
        <f t="shared" si="14"/>
        <v>360453.64999999973</v>
      </c>
      <c r="CC8" s="68"/>
      <c r="CD8" s="91">
        <v>40000</v>
      </c>
      <c r="CE8" s="91"/>
      <c r="CF8" s="68">
        <f t="shared" si="15"/>
        <v>400453.64999999973</v>
      </c>
      <c r="CG8" s="68"/>
      <c r="CH8" s="91">
        <v>87500</v>
      </c>
      <c r="CI8" s="91">
        <v>198000</v>
      </c>
      <c r="CJ8" s="68">
        <f t="shared" si="16"/>
        <v>289953.64999999973</v>
      </c>
      <c r="CK8" s="68"/>
      <c r="CL8" s="91">
        <v>69000</v>
      </c>
      <c r="CM8" s="91">
        <v>80000</v>
      </c>
      <c r="CN8" s="68">
        <f t="shared" si="17"/>
        <v>278953.64999999973</v>
      </c>
      <c r="CO8" s="68"/>
      <c r="CP8" s="91">
        <v>211865.58</v>
      </c>
      <c r="CQ8" s="91">
        <v>189000</v>
      </c>
      <c r="CR8" s="68">
        <f t="shared" si="18"/>
        <v>301819.22999999975</v>
      </c>
      <c r="CS8" s="68"/>
      <c r="CT8" s="91">
        <v>184000</v>
      </c>
      <c r="CU8" s="91">
        <v>103000</v>
      </c>
      <c r="CV8" s="68">
        <f t="shared" si="19"/>
        <v>382819.22999999975</v>
      </c>
      <c r="CW8" s="68"/>
    </row>
    <row r="9" spans="1:101" x14ac:dyDescent="0.5">
      <c r="A9" s="67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91"/>
      <c r="G9" s="91"/>
      <c r="H9" s="68">
        <f t="shared" si="0"/>
        <v>574.27999999999986</v>
      </c>
      <c r="I9" s="68"/>
      <c r="J9" s="91"/>
      <c r="K9" s="91"/>
      <c r="L9" s="68">
        <f t="shared" si="1"/>
        <v>574.27999999999986</v>
      </c>
      <c r="M9" s="68"/>
      <c r="N9" s="91"/>
      <c r="O9" s="91"/>
      <c r="P9" s="68">
        <f t="shared" si="2"/>
        <v>574.27999999999986</v>
      </c>
      <c r="Q9" s="68"/>
      <c r="R9" s="91"/>
      <c r="S9" s="91"/>
      <c r="T9" s="68">
        <f>+P9+R9-S9</f>
        <v>574.27999999999986</v>
      </c>
      <c r="U9" s="68"/>
      <c r="V9" s="91"/>
      <c r="W9" s="91"/>
      <c r="X9" s="68">
        <f>+T9+V9-W9</f>
        <v>574.27999999999986</v>
      </c>
      <c r="Y9" s="68"/>
      <c r="Z9" s="91"/>
      <c r="AA9" s="91"/>
      <c r="AB9" s="68">
        <f t="shared" si="3"/>
        <v>574.27999999999986</v>
      </c>
      <c r="AC9" s="68"/>
      <c r="AD9" s="91"/>
      <c r="AE9" s="91"/>
      <c r="AF9" s="68">
        <f t="shared" si="4"/>
        <v>574.27999999999986</v>
      </c>
      <c r="AG9" s="68"/>
      <c r="AH9" s="91"/>
      <c r="AI9" s="91"/>
      <c r="AJ9" s="68">
        <f t="shared" si="5"/>
        <v>574.27999999999986</v>
      </c>
      <c r="AK9" s="68"/>
      <c r="AL9" s="91"/>
      <c r="AM9" s="91"/>
      <c r="AN9" s="68">
        <f>+AJ9+AL9-AM9</f>
        <v>574.27999999999986</v>
      </c>
      <c r="AO9" s="68"/>
      <c r="AP9" s="91"/>
      <c r="AQ9" s="91"/>
      <c r="AR9" s="68">
        <f t="shared" si="6"/>
        <v>574.27999999999986</v>
      </c>
      <c r="AS9" s="68"/>
      <c r="AT9" s="91"/>
      <c r="AU9" s="91"/>
      <c r="AV9" s="68">
        <f t="shared" si="7"/>
        <v>574.27999999999986</v>
      </c>
      <c r="AW9" s="68"/>
      <c r="AX9" s="91"/>
      <c r="AY9" s="91"/>
      <c r="AZ9" s="152">
        <v>577.14</v>
      </c>
      <c r="BA9" s="152"/>
      <c r="BB9" s="91"/>
      <c r="BC9" s="91"/>
      <c r="BD9" s="68">
        <f t="shared" si="8"/>
        <v>577.14</v>
      </c>
      <c r="BE9" s="68"/>
      <c r="BF9" s="91"/>
      <c r="BG9" s="91"/>
      <c r="BH9" s="68">
        <f t="shared" si="9"/>
        <v>577.14</v>
      </c>
      <c r="BI9" s="68"/>
      <c r="BJ9" s="91"/>
      <c r="BK9" s="91"/>
      <c r="BL9" s="68">
        <f t="shared" si="10"/>
        <v>577.14</v>
      </c>
      <c r="BM9" s="68"/>
      <c r="BN9" s="91"/>
      <c r="BO9" s="91"/>
      <c r="BP9" s="68">
        <f t="shared" si="11"/>
        <v>577.14</v>
      </c>
      <c r="BQ9" s="68"/>
      <c r="BR9" s="91"/>
      <c r="BS9" s="91"/>
      <c r="BT9" s="68">
        <f t="shared" si="12"/>
        <v>577.14</v>
      </c>
      <c r="BU9" s="68"/>
      <c r="BV9" s="91"/>
      <c r="BW9" s="91"/>
      <c r="BX9" s="68">
        <f t="shared" si="13"/>
        <v>577.14</v>
      </c>
      <c r="BY9" s="68"/>
      <c r="BZ9" s="91"/>
      <c r="CA9" s="91"/>
      <c r="CB9" s="68">
        <f t="shared" si="14"/>
        <v>577.14</v>
      </c>
      <c r="CC9" s="68"/>
      <c r="CD9" s="91">
        <v>1.43</v>
      </c>
      <c r="CE9" s="91"/>
      <c r="CF9" s="68">
        <f t="shared" si="15"/>
        <v>578.56999999999994</v>
      </c>
      <c r="CG9" s="68"/>
      <c r="CH9" s="91"/>
      <c r="CI9" s="91"/>
      <c r="CJ9" s="68">
        <f t="shared" si="16"/>
        <v>578.56999999999994</v>
      </c>
      <c r="CK9" s="68"/>
      <c r="CL9" s="91"/>
      <c r="CM9" s="91"/>
      <c r="CN9" s="68">
        <f t="shared" si="17"/>
        <v>578.56999999999994</v>
      </c>
      <c r="CO9" s="68"/>
      <c r="CP9" s="91">
        <v>1.44</v>
      </c>
      <c r="CQ9" s="91"/>
      <c r="CR9" s="68">
        <f t="shared" si="18"/>
        <v>580.01</v>
      </c>
      <c r="CS9" s="68"/>
      <c r="CT9" s="91"/>
      <c r="CU9" s="91"/>
      <c r="CV9" s="68">
        <f t="shared" si="19"/>
        <v>580.01</v>
      </c>
      <c r="CW9" s="68"/>
    </row>
    <row r="10" spans="1:101" x14ac:dyDescent="0.5">
      <c r="A10" s="67">
        <v>4</v>
      </c>
      <c r="B10" s="81" t="s">
        <v>170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68"/>
      <c r="G10" s="68"/>
      <c r="H10" s="68">
        <f t="shared" si="0"/>
        <v>8185.4</v>
      </c>
      <c r="I10" s="68"/>
      <c r="J10" s="68"/>
      <c r="K10" s="68"/>
      <c r="L10" s="68">
        <f t="shared" si="1"/>
        <v>8185.4</v>
      </c>
      <c r="M10" s="68"/>
      <c r="N10" s="68"/>
      <c r="O10" s="68"/>
      <c r="P10" s="68">
        <f t="shared" si="2"/>
        <v>8185.4</v>
      </c>
      <c r="Q10" s="68"/>
      <c r="R10" s="68"/>
      <c r="S10" s="68"/>
      <c r="T10" s="68">
        <f>+P10+R10-S10</f>
        <v>8185.4</v>
      </c>
      <c r="U10" s="68"/>
      <c r="V10" s="68"/>
      <c r="W10" s="68"/>
      <c r="X10" s="68">
        <f>+T10+V10-W10</f>
        <v>8185.4</v>
      </c>
      <c r="Y10" s="68"/>
      <c r="Z10" s="68"/>
      <c r="AA10" s="68"/>
      <c r="AB10" s="68">
        <f t="shared" si="3"/>
        <v>8185.4</v>
      </c>
      <c r="AC10" s="68"/>
      <c r="AD10" s="68"/>
      <c r="AE10" s="68"/>
      <c r="AF10" s="68">
        <f t="shared" si="4"/>
        <v>8185.4</v>
      </c>
      <c r="AG10" s="68"/>
      <c r="AH10" s="68"/>
      <c r="AI10" s="68"/>
      <c r="AJ10" s="68">
        <f t="shared" si="5"/>
        <v>8185.4</v>
      </c>
      <c r="AK10" s="68"/>
      <c r="AL10" s="68"/>
      <c r="AM10" s="68"/>
      <c r="AN10" s="68">
        <f>+AJ10+AL10-AM10</f>
        <v>8185.4</v>
      </c>
      <c r="AO10" s="68"/>
      <c r="AP10" s="68"/>
      <c r="AQ10" s="68"/>
      <c r="AR10" s="68">
        <f t="shared" si="6"/>
        <v>8185.4</v>
      </c>
      <c r="AS10" s="68"/>
      <c r="AT10" s="68"/>
      <c r="AU10" s="68"/>
      <c r="AV10" s="68">
        <f t="shared" si="7"/>
        <v>8185.4</v>
      </c>
      <c r="AW10" s="68"/>
      <c r="AX10" s="68"/>
      <c r="AY10" s="68"/>
      <c r="AZ10" s="152">
        <v>8234.33</v>
      </c>
      <c r="BA10" s="152"/>
      <c r="BB10" s="91"/>
      <c r="BC10" s="91"/>
      <c r="BD10" s="68">
        <f t="shared" si="8"/>
        <v>8234.33</v>
      </c>
      <c r="BE10" s="68"/>
      <c r="BF10" s="91">
        <v>48.93</v>
      </c>
      <c r="BG10" s="91"/>
      <c r="BH10" s="68">
        <f t="shared" si="9"/>
        <v>8283.26</v>
      </c>
      <c r="BI10" s="68"/>
      <c r="BJ10" s="91">
        <v>56400</v>
      </c>
      <c r="BK10" s="91">
        <v>33840</v>
      </c>
      <c r="BL10" s="68">
        <f t="shared" si="10"/>
        <v>30843.260000000002</v>
      </c>
      <c r="BM10" s="68"/>
      <c r="BN10" s="91"/>
      <c r="BO10" s="91">
        <v>11280</v>
      </c>
      <c r="BP10" s="68">
        <f t="shared" si="11"/>
        <v>19563.260000000002</v>
      </c>
      <c r="BQ10" s="68"/>
      <c r="BR10" s="91">
        <v>59.84</v>
      </c>
      <c r="BS10" s="91">
        <v>11280</v>
      </c>
      <c r="BT10" s="68">
        <f t="shared" si="12"/>
        <v>8343.1000000000022</v>
      </c>
      <c r="BU10" s="68"/>
      <c r="BV10" s="91"/>
      <c r="BW10" s="91"/>
      <c r="BX10" s="68">
        <f t="shared" si="13"/>
        <v>8343.1000000000022</v>
      </c>
      <c r="BY10" s="68"/>
      <c r="BZ10" s="91"/>
      <c r="CA10" s="91"/>
      <c r="CB10" s="68">
        <f t="shared" si="14"/>
        <v>8343.1000000000022</v>
      </c>
      <c r="CC10" s="68"/>
      <c r="CD10" s="91"/>
      <c r="CE10" s="91"/>
      <c r="CF10" s="68">
        <f t="shared" si="15"/>
        <v>8343.1000000000022</v>
      </c>
      <c r="CG10" s="68"/>
      <c r="CH10" s="91"/>
      <c r="CI10" s="91"/>
      <c r="CJ10" s="68">
        <f t="shared" si="16"/>
        <v>8343.1000000000022</v>
      </c>
      <c r="CK10" s="68"/>
      <c r="CL10" s="91"/>
      <c r="CM10" s="91"/>
      <c r="CN10" s="68">
        <f t="shared" si="17"/>
        <v>8343.1000000000022</v>
      </c>
      <c r="CO10" s="68"/>
      <c r="CP10" s="91">
        <v>49.19</v>
      </c>
      <c r="CQ10" s="91"/>
      <c r="CR10" s="68">
        <f t="shared" si="18"/>
        <v>8392.2900000000027</v>
      </c>
      <c r="CS10" s="68"/>
      <c r="CT10" s="91"/>
      <c r="CU10" s="91"/>
      <c r="CV10" s="68">
        <f t="shared" si="19"/>
        <v>8392.2900000000027</v>
      </c>
      <c r="CW10" s="68"/>
    </row>
    <row r="11" spans="1:101" x14ac:dyDescent="0.5">
      <c r="A11" s="67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91"/>
      <c r="G11" s="91"/>
      <c r="H11" s="68">
        <f t="shared" si="0"/>
        <v>384907.3</v>
      </c>
      <c r="I11" s="68"/>
      <c r="J11" s="91"/>
      <c r="K11" s="91"/>
      <c r="L11" s="68">
        <f t="shared" si="1"/>
        <v>384907.3</v>
      </c>
      <c r="M11" s="68"/>
      <c r="N11" s="91"/>
      <c r="O11" s="91"/>
      <c r="P11" s="68">
        <f t="shared" si="2"/>
        <v>384907.3</v>
      </c>
      <c r="Q11" s="68"/>
      <c r="R11" s="91"/>
      <c r="S11" s="91"/>
      <c r="T11" s="68">
        <f>+P11+R11-S11</f>
        <v>384907.3</v>
      </c>
      <c r="U11" s="68"/>
      <c r="V11" s="91"/>
      <c r="W11" s="91"/>
      <c r="X11" s="68">
        <f>+T11+V11-W11</f>
        <v>384907.3</v>
      </c>
      <c r="Y11" s="68"/>
      <c r="Z11" s="91"/>
      <c r="AA11" s="91"/>
      <c r="AB11" s="68">
        <f t="shared" si="3"/>
        <v>384907.3</v>
      </c>
      <c r="AC11" s="68"/>
      <c r="AD11" s="91"/>
      <c r="AE11" s="91">
        <v>2000</v>
      </c>
      <c r="AF11" s="68">
        <f t="shared" si="4"/>
        <v>382907.3</v>
      </c>
      <c r="AG11" s="68"/>
      <c r="AH11" s="91"/>
      <c r="AI11" s="91"/>
      <c r="AJ11" s="68">
        <f t="shared" si="5"/>
        <v>382907.3</v>
      </c>
      <c r="AK11" s="68"/>
      <c r="AL11" s="91"/>
      <c r="AM11" s="91">
        <v>2000</v>
      </c>
      <c r="AN11" s="68">
        <f>+AJ11+AL11-AM11</f>
        <v>380907.3</v>
      </c>
      <c r="AO11" s="68"/>
      <c r="AP11" s="91"/>
      <c r="AQ11" s="91">
        <v>2000</v>
      </c>
      <c r="AR11" s="68">
        <f t="shared" si="6"/>
        <v>378907.3</v>
      </c>
      <c r="AS11" s="68"/>
      <c r="AT11" s="91"/>
      <c r="AU11" s="91">
        <v>500</v>
      </c>
      <c r="AV11" s="68">
        <f t="shared" si="7"/>
        <v>378407.3</v>
      </c>
      <c r="AW11" s="68"/>
      <c r="AX11" s="91"/>
      <c r="AY11" s="91"/>
      <c r="AZ11" s="152">
        <f>+AV11+AX11-AY11</f>
        <v>378407.3</v>
      </c>
      <c r="BA11" s="152"/>
      <c r="BB11" s="91"/>
      <c r="BC11" s="91"/>
      <c r="BD11" s="68">
        <f t="shared" si="8"/>
        <v>378407.3</v>
      </c>
      <c r="BE11" s="68"/>
      <c r="BF11" s="91"/>
      <c r="BG11" s="91"/>
      <c r="BH11" s="68">
        <f t="shared" si="9"/>
        <v>378407.3</v>
      </c>
      <c r="BI11" s="68"/>
      <c r="BJ11" s="91"/>
      <c r="BK11" s="91"/>
      <c r="BL11" s="68">
        <f t="shared" si="10"/>
        <v>378407.3</v>
      </c>
      <c r="BM11" s="68"/>
      <c r="BN11" s="91"/>
      <c r="BO11" s="91"/>
      <c r="BP11" s="68">
        <f t="shared" si="11"/>
        <v>378407.3</v>
      </c>
      <c r="BQ11" s="68"/>
      <c r="BR11" s="91"/>
      <c r="BS11" s="91"/>
      <c r="BT11" s="68">
        <f t="shared" si="12"/>
        <v>378407.3</v>
      </c>
      <c r="BU11" s="68"/>
      <c r="BV11" s="91"/>
      <c r="BW11" s="91"/>
      <c r="BX11" s="68">
        <f t="shared" si="13"/>
        <v>378407.3</v>
      </c>
      <c r="BY11" s="68"/>
      <c r="BZ11" s="91"/>
      <c r="CA11" s="91"/>
      <c r="CB11" s="68">
        <f t="shared" si="14"/>
        <v>378407.3</v>
      </c>
      <c r="CC11" s="68"/>
      <c r="CD11" s="91"/>
      <c r="CE11" s="91"/>
      <c r="CF11" s="68">
        <f t="shared" si="15"/>
        <v>378407.3</v>
      </c>
      <c r="CG11" s="68"/>
      <c r="CH11" s="91"/>
      <c r="CI11" s="91"/>
      <c r="CJ11" s="68">
        <f t="shared" si="16"/>
        <v>378407.3</v>
      </c>
      <c r="CK11" s="68"/>
      <c r="CL11" s="91"/>
      <c r="CM11" s="91"/>
      <c r="CN11" s="68">
        <f t="shared" si="17"/>
        <v>378407.3</v>
      </c>
      <c r="CO11" s="68"/>
      <c r="CP11" s="91"/>
      <c r="CQ11" s="91"/>
      <c r="CR11" s="68">
        <f t="shared" si="18"/>
        <v>378407.3</v>
      </c>
      <c r="CS11" s="68"/>
      <c r="CT11" s="91"/>
      <c r="CU11" s="91"/>
      <c r="CV11" s="68">
        <f t="shared" si="19"/>
        <v>378407.3</v>
      </c>
      <c r="CW11" s="68"/>
    </row>
    <row r="12" spans="1:101" x14ac:dyDescent="0.5">
      <c r="A12" s="67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91"/>
      <c r="G12" s="91"/>
      <c r="H12" s="68">
        <f t="shared" si="0"/>
        <v>0</v>
      </c>
      <c r="I12" s="68">
        <f>+E12</f>
        <v>384907.3</v>
      </c>
      <c r="J12" s="91"/>
      <c r="K12" s="91"/>
      <c r="L12" s="68">
        <f t="shared" si="1"/>
        <v>0</v>
      </c>
      <c r="M12" s="68">
        <f>+I12</f>
        <v>384907.3</v>
      </c>
      <c r="N12" s="91"/>
      <c r="O12" s="91"/>
      <c r="P12" s="68">
        <f t="shared" si="2"/>
        <v>0</v>
      </c>
      <c r="Q12" s="68">
        <f>+M12</f>
        <v>384907.3</v>
      </c>
      <c r="R12" s="91"/>
      <c r="S12" s="91"/>
      <c r="T12" s="68"/>
      <c r="U12" s="68">
        <f>+Q12+S12-R12</f>
        <v>384907.3</v>
      </c>
      <c r="V12" s="91"/>
      <c r="W12" s="91"/>
      <c r="X12" s="68"/>
      <c r="Y12" s="68">
        <f>+U12</f>
        <v>384907.3</v>
      </c>
      <c r="Z12" s="91"/>
      <c r="AA12" s="91"/>
      <c r="AB12" s="68">
        <f t="shared" si="3"/>
        <v>0</v>
      </c>
      <c r="AC12" s="68">
        <f>+Y12</f>
        <v>384907.3</v>
      </c>
      <c r="AD12" s="91"/>
      <c r="AE12" s="91"/>
      <c r="AF12" s="68">
        <f t="shared" si="4"/>
        <v>0</v>
      </c>
      <c r="AG12" s="68">
        <f>+AC12</f>
        <v>384907.3</v>
      </c>
      <c r="AH12" s="91"/>
      <c r="AI12" s="91"/>
      <c r="AJ12" s="68">
        <f t="shared" si="5"/>
        <v>0</v>
      </c>
      <c r="AK12" s="68">
        <f>+AG12+AI12-AH12</f>
        <v>384907.3</v>
      </c>
      <c r="AL12" s="91"/>
      <c r="AM12" s="91"/>
      <c r="AN12" s="68"/>
      <c r="AO12" s="68">
        <f>+AK12</f>
        <v>384907.3</v>
      </c>
      <c r="AP12" s="91"/>
      <c r="AQ12" s="91"/>
      <c r="AR12" s="68">
        <f t="shared" si="6"/>
        <v>0</v>
      </c>
      <c r="AS12" s="68">
        <f>+AO12</f>
        <v>384907.3</v>
      </c>
      <c r="AT12" s="91"/>
      <c r="AU12" s="91"/>
      <c r="AV12" s="68">
        <f t="shared" si="7"/>
        <v>0</v>
      </c>
      <c r="AW12" s="68">
        <f>+AS12</f>
        <v>384907.3</v>
      </c>
      <c r="AX12" s="91"/>
      <c r="AY12" s="91"/>
      <c r="AZ12" s="152">
        <f>+AV12+AX12-AY12</f>
        <v>0</v>
      </c>
      <c r="BA12" s="152">
        <v>378407.3</v>
      </c>
      <c r="BB12" s="91"/>
      <c r="BC12" s="91"/>
      <c r="BD12" s="68">
        <f t="shared" si="8"/>
        <v>0</v>
      </c>
      <c r="BE12" s="68">
        <f>+BA12</f>
        <v>378407.3</v>
      </c>
      <c r="BF12" s="91"/>
      <c r="BG12" s="91"/>
      <c r="BH12" s="68">
        <f t="shared" si="9"/>
        <v>0</v>
      </c>
      <c r="BI12" s="68">
        <f>+BE12</f>
        <v>378407.3</v>
      </c>
      <c r="BJ12" s="91"/>
      <c r="BK12" s="91"/>
      <c r="BL12" s="68">
        <f t="shared" si="10"/>
        <v>0</v>
      </c>
      <c r="BM12" s="68">
        <f>+BI12</f>
        <v>378407.3</v>
      </c>
      <c r="BN12" s="91"/>
      <c r="BO12" s="91"/>
      <c r="BP12" s="68">
        <f t="shared" si="11"/>
        <v>0</v>
      </c>
      <c r="BQ12" s="68">
        <f>+BM12</f>
        <v>378407.3</v>
      </c>
      <c r="BR12" s="91"/>
      <c r="BS12" s="91"/>
      <c r="BT12" s="68">
        <f t="shared" si="12"/>
        <v>0</v>
      </c>
      <c r="BU12" s="68">
        <f>+BQ12</f>
        <v>378407.3</v>
      </c>
      <c r="BV12" s="91"/>
      <c r="BW12" s="91"/>
      <c r="BX12" s="68">
        <f t="shared" si="13"/>
        <v>0</v>
      </c>
      <c r="BY12" s="68">
        <f>+BU12</f>
        <v>378407.3</v>
      </c>
      <c r="BZ12" s="91"/>
      <c r="CA12" s="91"/>
      <c r="CB12" s="68">
        <f t="shared" si="14"/>
        <v>0</v>
      </c>
      <c r="CC12" s="68">
        <f>+BY12</f>
        <v>378407.3</v>
      </c>
      <c r="CD12" s="91"/>
      <c r="CE12" s="91"/>
      <c r="CF12" s="68">
        <f t="shared" si="15"/>
        <v>0</v>
      </c>
      <c r="CG12" s="68">
        <f>+CC12</f>
        <v>378407.3</v>
      </c>
      <c r="CH12" s="91"/>
      <c r="CI12" s="91"/>
      <c r="CJ12" s="68">
        <f t="shared" si="16"/>
        <v>0</v>
      </c>
      <c r="CK12" s="68">
        <f>+CG12</f>
        <v>378407.3</v>
      </c>
      <c r="CL12" s="91"/>
      <c r="CM12" s="91"/>
      <c r="CN12" s="68">
        <f t="shared" si="17"/>
        <v>0</v>
      </c>
      <c r="CO12" s="68">
        <f>+CK12</f>
        <v>378407.3</v>
      </c>
      <c r="CP12" s="91"/>
      <c r="CQ12" s="91"/>
      <c r="CR12" s="68">
        <f t="shared" si="18"/>
        <v>0</v>
      </c>
      <c r="CS12" s="68">
        <f>+CO12</f>
        <v>378407.3</v>
      </c>
      <c r="CT12" s="91"/>
      <c r="CU12" s="91"/>
      <c r="CV12" s="68">
        <f t="shared" si="19"/>
        <v>0</v>
      </c>
      <c r="CW12" s="68">
        <f>+CS12</f>
        <v>378407.3</v>
      </c>
    </row>
    <row r="13" spans="1:101" x14ac:dyDescent="0.5">
      <c r="A13" s="67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91"/>
      <c r="G13" s="91"/>
      <c r="H13" s="68">
        <f t="shared" si="0"/>
        <v>0</v>
      </c>
      <c r="I13" s="68"/>
      <c r="J13" s="91"/>
      <c r="K13" s="91"/>
      <c r="L13" s="68">
        <f t="shared" si="1"/>
        <v>0</v>
      </c>
      <c r="M13" s="68"/>
      <c r="N13" s="91"/>
      <c r="O13" s="91"/>
      <c r="P13" s="68">
        <f t="shared" si="2"/>
        <v>0</v>
      </c>
      <c r="Q13" s="68"/>
      <c r="R13" s="91"/>
      <c r="S13" s="91"/>
      <c r="T13" s="68"/>
      <c r="U13" s="68"/>
      <c r="V13" s="91"/>
      <c r="W13" s="91"/>
      <c r="X13" s="68"/>
      <c r="Y13" s="68"/>
      <c r="Z13" s="91"/>
      <c r="AA13" s="91"/>
      <c r="AB13" s="68">
        <f t="shared" si="3"/>
        <v>0</v>
      </c>
      <c r="AC13" s="68"/>
      <c r="AD13" s="91"/>
      <c r="AE13" s="91"/>
      <c r="AF13" s="68">
        <f t="shared" si="4"/>
        <v>0</v>
      </c>
      <c r="AG13" s="68"/>
      <c r="AH13" s="91"/>
      <c r="AI13" s="91"/>
      <c r="AJ13" s="68">
        <f t="shared" si="5"/>
        <v>0</v>
      </c>
      <c r="AK13" s="68">
        <f>+AG13+AI13-AH13</f>
        <v>0</v>
      </c>
      <c r="AL13" s="91"/>
      <c r="AM13" s="91"/>
      <c r="AN13" s="68"/>
      <c r="AO13" s="68"/>
      <c r="AP13" s="91">
        <f>8200+11280+11280+11280</f>
        <v>42040</v>
      </c>
      <c r="AQ13" s="91"/>
      <c r="AR13" s="68">
        <f t="shared" si="6"/>
        <v>42040</v>
      </c>
      <c r="AS13" s="68"/>
      <c r="AT13" s="91"/>
      <c r="AU13" s="91">
        <f>11280+22560+8200</f>
        <v>42040</v>
      </c>
      <c r="AV13" s="68">
        <f t="shared" si="7"/>
        <v>0</v>
      </c>
      <c r="AW13" s="68"/>
      <c r="AX13" s="91">
        <v>11280</v>
      </c>
      <c r="AY13" s="91">
        <v>11280</v>
      </c>
      <c r="AZ13" s="152">
        <f>+AV13+AX13-AY13</f>
        <v>0</v>
      </c>
      <c r="BA13" s="152"/>
      <c r="BB13" s="91">
        <v>11280</v>
      </c>
      <c r="BC13" s="91">
        <v>11280</v>
      </c>
      <c r="BD13" s="68">
        <f t="shared" si="8"/>
        <v>0</v>
      </c>
      <c r="BE13" s="68"/>
      <c r="BF13" s="91">
        <v>11280</v>
      </c>
      <c r="BG13" s="91">
        <v>11280</v>
      </c>
      <c r="BH13" s="68">
        <f t="shared" si="9"/>
        <v>0</v>
      </c>
      <c r="BI13" s="68"/>
      <c r="BJ13" s="91"/>
      <c r="BK13" s="91"/>
      <c r="BL13" s="68">
        <f t="shared" si="10"/>
        <v>0</v>
      </c>
      <c r="BM13" s="68"/>
      <c r="BN13" s="91"/>
      <c r="BO13" s="91"/>
      <c r="BP13" s="68">
        <f t="shared" si="11"/>
        <v>0</v>
      </c>
      <c r="BQ13" s="68"/>
      <c r="BR13" s="91"/>
      <c r="BS13" s="91"/>
      <c r="BT13" s="68">
        <f t="shared" si="12"/>
        <v>0</v>
      </c>
      <c r="BU13" s="68"/>
      <c r="BV13" s="91"/>
      <c r="BW13" s="91"/>
      <c r="BX13" s="68">
        <f t="shared" si="13"/>
        <v>0</v>
      </c>
      <c r="BY13" s="68"/>
      <c r="BZ13" s="91"/>
      <c r="CA13" s="91"/>
      <c r="CB13" s="68">
        <f t="shared" si="14"/>
        <v>0</v>
      </c>
      <c r="CC13" s="68">
        <f>+BY13</f>
        <v>0</v>
      </c>
      <c r="CD13" s="91"/>
      <c r="CE13" s="91"/>
      <c r="CF13" s="68">
        <f t="shared" si="15"/>
        <v>0</v>
      </c>
      <c r="CG13" s="68">
        <f>+CC13</f>
        <v>0</v>
      </c>
      <c r="CH13" s="91"/>
      <c r="CI13" s="91"/>
      <c r="CJ13" s="68">
        <f t="shared" si="16"/>
        <v>0</v>
      </c>
      <c r="CK13" s="68">
        <f>+CG13</f>
        <v>0</v>
      </c>
      <c r="CL13" s="91"/>
      <c r="CM13" s="91"/>
      <c r="CN13" s="68">
        <f t="shared" si="17"/>
        <v>0</v>
      </c>
      <c r="CO13" s="68">
        <f>+CK13</f>
        <v>0</v>
      </c>
      <c r="CP13" s="91"/>
      <c r="CQ13" s="91"/>
      <c r="CR13" s="68">
        <f t="shared" si="18"/>
        <v>0</v>
      </c>
      <c r="CS13" s="68">
        <f>+CO13</f>
        <v>0</v>
      </c>
      <c r="CT13" s="91"/>
      <c r="CU13" s="91"/>
      <c r="CV13" s="68">
        <f t="shared" si="19"/>
        <v>0</v>
      </c>
      <c r="CW13" s="68">
        <f>+CS13</f>
        <v>0</v>
      </c>
    </row>
    <row r="14" spans="1:101" x14ac:dyDescent="0.5">
      <c r="A14" s="67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91"/>
      <c r="G14" s="91"/>
      <c r="H14" s="68">
        <f t="shared" si="0"/>
        <v>343820.06999999995</v>
      </c>
      <c r="I14" s="68"/>
      <c r="J14" s="91"/>
      <c r="K14" s="91"/>
      <c r="L14" s="68">
        <f t="shared" si="1"/>
        <v>343820.06999999995</v>
      </c>
      <c r="M14" s="68"/>
      <c r="N14" s="91"/>
      <c r="O14" s="91"/>
      <c r="P14" s="68">
        <f t="shared" si="2"/>
        <v>343820.06999999995</v>
      </c>
      <c r="Q14" s="68"/>
      <c r="R14" s="91"/>
      <c r="S14" s="91"/>
      <c r="T14" s="68">
        <f>+P14+R14-S14</f>
        <v>343820.06999999995</v>
      </c>
      <c r="U14" s="68"/>
      <c r="V14" s="91"/>
      <c r="W14" s="91"/>
      <c r="X14" s="68">
        <f>+T14+V14-W14</f>
        <v>343820.06999999995</v>
      </c>
      <c r="Y14" s="68"/>
      <c r="Z14" s="91"/>
      <c r="AA14" s="91"/>
      <c r="AB14" s="68">
        <f t="shared" si="3"/>
        <v>343820.06999999995</v>
      </c>
      <c r="AC14" s="68"/>
      <c r="AD14" s="91"/>
      <c r="AE14" s="91"/>
      <c r="AF14" s="68">
        <f t="shared" si="4"/>
        <v>343820.06999999995</v>
      </c>
      <c r="AG14" s="68"/>
      <c r="AH14" s="91"/>
      <c r="AI14" s="91"/>
      <c r="AJ14" s="68">
        <f t="shared" si="5"/>
        <v>343820.06999999995</v>
      </c>
      <c r="AK14" s="68">
        <f>+AG14+AI14-AH14</f>
        <v>0</v>
      </c>
      <c r="AL14" s="91"/>
      <c r="AM14" s="91"/>
      <c r="AN14" s="68">
        <f>+AJ14</f>
        <v>343820.06999999995</v>
      </c>
      <c r="AO14" s="68"/>
      <c r="AP14" s="91"/>
      <c r="AQ14" s="91"/>
      <c r="AR14" s="68">
        <f t="shared" si="6"/>
        <v>343820.06999999995</v>
      </c>
      <c r="AS14" s="68"/>
      <c r="AT14" s="91"/>
      <c r="AU14" s="91"/>
      <c r="AV14" s="68">
        <f t="shared" si="7"/>
        <v>343820.06999999995</v>
      </c>
      <c r="AW14" s="68"/>
      <c r="AX14" s="91"/>
      <c r="AY14" s="91"/>
      <c r="AZ14" s="152">
        <v>357572.87</v>
      </c>
      <c r="BA14" s="152"/>
      <c r="BB14" s="91"/>
      <c r="BC14" s="91"/>
      <c r="BD14" s="68">
        <f t="shared" si="8"/>
        <v>357572.87</v>
      </c>
      <c r="BE14" s="68"/>
      <c r="BF14" s="91"/>
      <c r="BG14" s="91"/>
      <c r="BH14" s="68">
        <f t="shared" si="9"/>
        <v>357572.87</v>
      </c>
      <c r="BI14" s="68"/>
      <c r="BJ14" s="91"/>
      <c r="BK14" s="91"/>
      <c r="BL14" s="68">
        <f t="shared" si="10"/>
        <v>357572.87</v>
      </c>
      <c r="BM14" s="68"/>
      <c r="BN14" s="91"/>
      <c r="BO14" s="91"/>
      <c r="BP14" s="68">
        <f t="shared" si="11"/>
        <v>357572.87</v>
      </c>
      <c r="BQ14" s="68"/>
      <c r="BR14" s="91"/>
      <c r="BS14" s="91"/>
      <c r="BT14" s="68">
        <f t="shared" si="12"/>
        <v>357572.87</v>
      </c>
      <c r="BU14" s="68"/>
      <c r="BV14" s="91"/>
      <c r="BW14" s="91"/>
      <c r="BX14" s="68">
        <f t="shared" si="13"/>
        <v>357572.87</v>
      </c>
      <c r="BY14" s="68"/>
      <c r="BZ14" s="91"/>
      <c r="CA14" s="91"/>
      <c r="CB14" s="68">
        <f t="shared" si="14"/>
        <v>357572.87</v>
      </c>
      <c r="CC14" s="68">
        <f>+BY14</f>
        <v>0</v>
      </c>
      <c r="CD14" s="91"/>
      <c r="CE14" s="91"/>
      <c r="CF14" s="68">
        <f t="shared" si="15"/>
        <v>357572.87</v>
      </c>
      <c r="CG14" s="68">
        <f>+CC14</f>
        <v>0</v>
      </c>
      <c r="CH14" s="91"/>
      <c r="CI14" s="91"/>
      <c r="CJ14" s="68">
        <f t="shared" si="16"/>
        <v>357572.87</v>
      </c>
      <c r="CK14" s="68">
        <f>+CG14</f>
        <v>0</v>
      </c>
      <c r="CL14" s="91"/>
      <c r="CM14" s="91"/>
      <c r="CN14" s="68">
        <f t="shared" si="17"/>
        <v>357572.87</v>
      </c>
      <c r="CO14" s="68">
        <f>+CK14</f>
        <v>0</v>
      </c>
      <c r="CP14" s="91"/>
      <c r="CQ14" s="91"/>
      <c r="CR14" s="68">
        <f t="shared" si="18"/>
        <v>357572.87</v>
      </c>
      <c r="CS14" s="68">
        <f>+CO14</f>
        <v>0</v>
      </c>
      <c r="CT14" s="91"/>
      <c r="CU14" s="91"/>
      <c r="CV14" s="68">
        <f t="shared" si="19"/>
        <v>357572.87</v>
      </c>
      <c r="CW14" s="68">
        <f>+CS14</f>
        <v>0</v>
      </c>
    </row>
    <row r="15" spans="1:101" x14ac:dyDescent="0.5">
      <c r="A15" s="67">
        <v>9</v>
      </c>
      <c r="B15" s="81" t="s">
        <v>190</v>
      </c>
      <c r="C15" s="67"/>
      <c r="D15" s="68"/>
      <c r="E15" s="68"/>
      <c r="F15" s="91"/>
      <c r="G15" s="91"/>
      <c r="H15" s="68"/>
      <c r="I15" s="68"/>
      <c r="J15" s="91"/>
      <c r="K15" s="91"/>
      <c r="L15" s="68"/>
      <c r="M15" s="68"/>
      <c r="N15" s="91"/>
      <c r="O15" s="91"/>
      <c r="P15" s="68"/>
      <c r="Q15" s="68"/>
      <c r="R15" s="91"/>
      <c r="S15" s="91"/>
      <c r="T15" s="68"/>
      <c r="U15" s="68"/>
      <c r="V15" s="91"/>
      <c r="W15" s="91"/>
      <c r="X15" s="68"/>
      <c r="Y15" s="68"/>
      <c r="Z15" s="91"/>
      <c r="AA15" s="91"/>
      <c r="AB15" s="68"/>
      <c r="AC15" s="68"/>
      <c r="AD15" s="91"/>
      <c r="AE15" s="91"/>
      <c r="AF15" s="68"/>
      <c r="AG15" s="68"/>
      <c r="AH15" s="91"/>
      <c r="AI15" s="91"/>
      <c r="AJ15" s="68"/>
      <c r="AK15" s="68"/>
      <c r="AL15" s="91"/>
      <c r="AM15" s="91"/>
      <c r="AN15" s="68"/>
      <c r="AO15" s="68"/>
      <c r="AP15" s="91"/>
      <c r="AQ15" s="91"/>
      <c r="AR15" s="68"/>
      <c r="AS15" s="68"/>
      <c r="AT15" s="91"/>
      <c r="AU15" s="91"/>
      <c r="AV15" s="68"/>
      <c r="AW15" s="68"/>
      <c r="AX15" s="91"/>
      <c r="AY15" s="91"/>
      <c r="AZ15" s="152"/>
      <c r="BA15" s="152">
        <v>286058.3</v>
      </c>
      <c r="BB15" s="91"/>
      <c r="BC15" s="91"/>
      <c r="BD15" s="68"/>
      <c r="BE15" s="68">
        <f>BA15</f>
        <v>286058.3</v>
      </c>
      <c r="BF15" s="91"/>
      <c r="BG15" s="91"/>
      <c r="BH15" s="68"/>
      <c r="BI15" s="68">
        <f>BE15</f>
        <v>286058.3</v>
      </c>
      <c r="BJ15" s="91"/>
      <c r="BK15" s="91"/>
      <c r="BL15" s="68"/>
      <c r="BM15" s="68">
        <f>BI15</f>
        <v>286058.3</v>
      </c>
      <c r="BN15" s="91"/>
      <c r="BO15" s="91"/>
      <c r="BP15" s="68"/>
      <c r="BQ15" s="68">
        <f>BM15</f>
        <v>286058.3</v>
      </c>
      <c r="BR15" s="91"/>
      <c r="BS15" s="91"/>
      <c r="BT15" s="68"/>
      <c r="BU15" s="68">
        <f>BQ15</f>
        <v>286058.3</v>
      </c>
      <c r="BV15" s="91"/>
      <c r="BW15" s="91"/>
      <c r="BX15" s="68"/>
      <c r="BY15" s="68">
        <f>BU15</f>
        <v>286058.3</v>
      </c>
      <c r="BZ15" s="91"/>
      <c r="CA15" s="91"/>
      <c r="CB15" s="68"/>
      <c r="CC15" s="68">
        <f>BY15</f>
        <v>286058.3</v>
      </c>
      <c r="CD15" s="91"/>
      <c r="CE15" s="91"/>
      <c r="CF15" s="68"/>
      <c r="CG15" s="68">
        <f>CC15</f>
        <v>286058.3</v>
      </c>
      <c r="CH15" s="91"/>
      <c r="CI15" s="91"/>
      <c r="CJ15" s="68"/>
      <c r="CK15" s="68">
        <f>CG15</f>
        <v>286058.3</v>
      </c>
      <c r="CL15" s="91"/>
      <c r="CM15" s="91"/>
      <c r="CN15" s="68"/>
      <c r="CO15" s="68">
        <f>CK15</f>
        <v>286058.3</v>
      </c>
      <c r="CP15" s="91"/>
      <c r="CQ15" s="91"/>
      <c r="CR15" s="68"/>
      <c r="CS15" s="68">
        <f>CO15</f>
        <v>286058.3</v>
      </c>
      <c r="CT15" s="91"/>
      <c r="CU15" s="91"/>
      <c r="CV15" s="68"/>
      <c r="CW15" s="68">
        <f>CS15</f>
        <v>286058.3</v>
      </c>
    </row>
    <row r="16" spans="1:101" ht="24" x14ac:dyDescent="0.55000000000000004">
      <c r="A16" s="67">
        <v>10</v>
      </c>
      <c r="B16" s="81" t="s">
        <v>47</v>
      </c>
      <c r="C16" s="67">
        <v>47</v>
      </c>
      <c r="D16" s="68">
        <f>+'กระดาษทำการ 30 เม.ย.58'!BP19</f>
        <v>508157.69999999995</v>
      </c>
      <c r="E16" s="68">
        <f>+'กระดาษทำการ 30 เม.ย.58'!BQ19</f>
        <v>0</v>
      </c>
      <c r="F16" s="119">
        <f>3500+4415</f>
        <v>7915</v>
      </c>
      <c r="G16" s="119">
        <v>24830</v>
      </c>
      <c r="H16" s="68">
        <f t="shared" ref="H16:H27" si="20">+D16+F16-G16</f>
        <v>491242.69999999995</v>
      </c>
      <c r="I16" s="68"/>
      <c r="J16" s="91">
        <v>32165</v>
      </c>
      <c r="K16" s="91"/>
      <c r="L16" s="68">
        <f>+H16+J16-K16</f>
        <v>523407.69999999995</v>
      </c>
      <c r="M16" s="68"/>
      <c r="N16" s="91">
        <f>8840</f>
        <v>8840</v>
      </c>
      <c r="O16" s="91"/>
      <c r="P16" s="68">
        <f t="shared" ref="P16:P27" si="21">+L16+N16-O16</f>
        <v>532247.69999999995</v>
      </c>
      <c r="Q16" s="68"/>
      <c r="R16" s="92">
        <v>13955</v>
      </c>
      <c r="S16" s="92">
        <f>700+1500</f>
        <v>2200</v>
      </c>
      <c r="T16" s="68">
        <f>+P16+R16-S16</f>
        <v>544002.69999999995</v>
      </c>
      <c r="U16" s="68"/>
      <c r="V16" s="91"/>
      <c r="W16" s="91"/>
      <c r="X16" s="68">
        <f>+T16+V16-W16</f>
        <v>544002.69999999995</v>
      </c>
      <c r="Y16" s="68"/>
      <c r="Z16" s="92">
        <v>17205</v>
      </c>
      <c r="AA16" s="92">
        <v>81200</v>
      </c>
      <c r="AB16" s="68">
        <f t="shared" ref="AB16:AB27" si="22">+X16+Z16-AA16</f>
        <v>480007.69999999995</v>
      </c>
      <c r="AC16" s="68"/>
      <c r="AD16" s="91">
        <f>26865+5200+15970</f>
        <v>48035</v>
      </c>
      <c r="AE16" s="91">
        <f>18625+15470+1500+1000</f>
        <v>36595</v>
      </c>
      <c r="AF16" s="68">
        <f t="shared" ref="AF16:AF34" si="23">+AB16+AD16-AE16</f>
        <v>491447.69999999995</v>
      </c>
      <c r="AG16" s="68"/>
      <c r="AH16" s="91">
        <v>30150</v>
      </c>
      <c r="AI16" s="91">
        <f>500+1000+1500</f>
        <v>3000</v>
      </c>
      <c r="AJ16" s="68">
        <f t="shared" ref="AJ16:AJ34" si="24">+AF16+AH16-AI16</f>
        <v>518597.69999999995</v>
      </c>
      <c r="AK16" s="68"/>
      <c r="AL16" s="91">
        <f>8250+10000</f>
        <v>18250</v>
      </c>
      <c r="AM16" s="91">
        <f>1000+2000+1000+21700</f>
        <v>25700</v>
      </c>
      <c r="AN16" s="68">
        <f>+AJ16+AL16-AM16</f>
        <v>511147.69999999995</v>
      </c>
      <c r="AO16" s="68"/>
      <c r="AP16" s="91">
        <v>13060</v>
      </c>
      <c r="AQ16" s="91">
        <v>2700</v>
      </c>
      <c r="AR16" s="68">
        <f t="shared" ref="AR16:AR35" si="25">+AN16+AP16-AQ16</f>
        <v>521507.69999999995</v>
      </c>
      <c r="AS16" s="68"/>
      <c r="AT16" s="92"/>
      <c r="AU16" s="92">
        <f>3870+1650</f>
        <v>5520</v>
      </c>
      <c r="AV16" s="68">
        <f t="shared" ref="AV16:AV35" si="26">+AR16+AT16-AU16</f>
        <v>515987.69999999995</v>
      </c>
      <c r="AW16" s="68"/>
      <c r="AX16" s="91">
        <v>31900</v>
      </c>
      <c r="AY16" s="91">
        <v>97500</v>
      </c>
      <c r="AZ16" s="152">
        <v>453187.7</v>
      </c>
      <c r="BA16" s="152"/>
      <c r="BB16" s="91">
        <v>29305</v>
      </c>
      <c r="BC16" s="91"/>
      <c r="BD16" s="157">
        <f>AZ16+BB16-BC16</f>
        <v>482492.7</v>
      </c>
      <c r="BE16" s="68"/>
      <c r="BF16" s="91"/>
      <c r="BG16" s="91">
        <v>1000</v>
      </c>
      <c r="BH16" s="68">
        <f t="shared" ref="BH16:BH34" si="27">+BD16+BF16-BG16</f>
        <v>481492.7</v>
      </c>
      <c r="BI16" s="68"/>
      <c r="BJ16" s="91"/>
      <c r="BK16" s="91"/>
      <c r="BL16" s="68">
        <f t="shared" ref="BL16:BL34" si="28">+BH16+BJ16-BK16</f>
        <v>481492.7</v>
      </c>
      <c r="BM16" s="68"/>
      <c r="BN16" s="91"/>
      <c r="BO16" s="91">
        <v>3700</v>
      </c>
      <c r="BP16" s="68">
        <f t="shared" ref="BP16:BP34" si="29">+BL16+BN16-BO16</f>
        <v>477792.7</v>
      </c>
      <c r="BQ16" s="68"/>
      <c r="BR16" s="91"/>
      <c r="BS16" s="91"/>
      <c r="BT16" s="68">
        <f t="shared" ref="BT16:BT35" si="30">BP16+BR16-BS16</f>
        <v>477792.7</v>
      </c>
      <c r="BU16" s="68"/>
      <c r="BV16" s="91"/>
      <c r="BW16" s="91"/>
      <c r="BX16" s="68">
        <f t="shared" ref="BX16:BX35" si="31">BT16+BV16-BW16</f>
        <v>477792.7</v>
      </c>
      <c r="BY16" s="68"/>
      <c r="BZ16" s="91">
        <v>14390</v>
      </c>
      <c r="CA16" s="91">
        <v>31290</v>
      </c>
      <c r="CB16" s="68">
        <f t="shared" ref="CB16:CB35" si="32">BX16+BZ16-CA16</f>
        <v>460892.7</v>
      </c>
      <c r="CC16" s="68"/>
      <c r="CD16" s="91">
        <v>12760</v>
      </c>
      <c r="CE16" s="91"/>
      <c r="CF16" s="68">
        <f t="shared" ref="CF16:CF35" si="33">CB16+CD16-CE16</f>
        <v>473652.7</v>
      </c>
      <c r="CG16" s="68"/>
      <c r="CH16" s="91">
        <v>18150</v>
      </c>
      <c r="CI16" s="91"/>
      <c r="CJ16" s="68">
        <f t="shared" ref="CJ16:CJ35" si="34">CF16+CH16-CI16</f>
        <v>491802.7</v>
      </c>
      <c r="CK16" s="68"/>
      <c r="CL16" s="91">
        <v>19800</v>
      </c>
      <c r="CM16" s="91"/>
      <c r="CN16" s="68">
        <f t="shared" ref="CN16:CN35" si="35">CJ16+CL16-CM16</f>
        <v>511602.7</v>
      </c>
      <c r="CO16" s="68"/>
      <c r="CP16" s="91">
        <v>21020</v>
      </c>
      <c r="CQ16" s="91">
        <v>3000</v>
      </c>
      <c r="CR16" s="68">
        <f t="shared" ref="CR16:CR35" si="36">CN16+CP16-CQ16</f>
        <v>529622.69999999995</v>
      </c>
      <c r="CS16" s="68"/>
      <c r="CT16" s="91"/>
      <c r="CU16" s="91">
        <v>1000</v>
      </c>
      <c r="CV16" s="68">
        <f t="shared" ref="CV16:CV35" si="37">CR16+CT16-CU16</f>
        <v>528622.69999999995</v>
      </c>
      <c r="CW16" s="68"/>
    </row>
    <row r="17" spans="1:101" x14ac:dyDescent="0.5">
      <c r="A17" s="67">
        <v>11</v>
      </c>
      <c r="B17" s="81" t="s">
        <v>48</v>
      </c>
      <c r="C17" s="67">
        <v>45</v>
      </c>
      <c r="D17" s="68">
        <f>+'กระดาษทำการ 30 เม.ย.58'!BP20</f>
        <v>0</v>
      </c>
      <c r="E17" s="68">
        <f>+'กระดาษทำการ 30 เม.ย.58'!BQ20</f>
        <v>437849.2</v>
      </c>
      <c r="F17" s="91"/>
      <c r="G17" s="91"/>
      <c r="H17" s="68">
        <f t="shared" si="20"/>
        <v>0</v>
      </c>
      <c r="I17" s="68">
        <f>+E17</f>
        <v>437849.2</v>
      </c>
      <c r="J17" s="91"/>
      <c r="K17" s="91"/>
      <c r="L17" s="68">
        <f>+H17+J17-K17</f>
        <v>0</v>
      </c>
      <c r="M17" s="68">
        <f>+I17</f>
        <v>437849.2</v>
      </c>
      <c r="N17" s="91"/>
      <c r="O17" s="91"/>
      <c r="P17" s="68">
        <f t="shared" si="21"/>
        <v>0</v>
      </c>
      <c r="Q17" s="68">
        <f>+M17</f>
        <v>437849.2</v>
      </c>
      <c r="R17" s="91"/>
      <c r="S17" s="91"/>
      <c r="T17" s="68">
        <f>+P17+R17-S17</f>
        <v>0</v>
      </c>
      <c r="U17" s="68">
        <f>+Q17</f>
        <v>437849.2</v>
      </c>
      <c r="V17" s="91"/>
      <c r="W17" s="91"/>
      <c r="X17" s="68">
        <f>+T17+V17-W17</f>
        <v>0</v>
      </c>
      <c r="Y17" s="68">
        <f>+U17</f>
        <v>437849.2</v>
      </c>
      <c r="Z17" s="91"/>
      <c r="AA17" s="91"/>
      <c r="AB17" s="68">
        <f t="shared" si="22"/>
        <v>0</v>
      </c>
      <c r="AC17" s="68">
        <f>+Y17</f>
        <v>437849.2</v>
      </c>
      <c r="AD17" s="91"/>
      <c r="AE17" s="91"/>
      <c r="AF17" s="68">
        <f t="shared" si="23"/>
        <v>0</v>
      </c>
      <c r="AG17" s="68">
        <f>+AC17</f>
        <v>437849.2</v>
      </c>
      <c r="AH17" s="91"/>
      <c r="AI17" s="91"/>
      <c r="AJ17" s="68">
        <f t="shared" si="24"/>
        <v>0</v>
      </c>
      <c r="AK17" s="68">
        <f>+AG17+AI17-AH17</f>
        <v>437849.2</v>
      </c>
      <c r="AL17" s="91"/>
      <c r="AM17" s="91"/>
      <c r="AN17" s="68">
        <f>+AJ17+AL17-AM17</f>
        <v>0</v>
      </c>
      <c r="AO17" s="68">
        <f>+AK17</f>
        <v>437849.2</v>
      </c>
      <c r="AP17" s="91"/>
      <c r="AQ17" s="91"/>
      <c r="AR17" s="68">
        <f t="shared" si="25"/>
        <v>0</v>
      </c>
      <c r="AS17" s="68">
        <f>+AO17+AQ17-AP17</f>
        <v>437849.2</v>
      </c>
      <c r="AT17" s="91"/>
      <c r="AU17" s="91"/>
      <c r="AV17" s="68">
        <f t="shared" si="26"/>
        <v>0</v>
      </c>
      <c r="AW17" s="68">
        <f>+AS17</f>
        <v>437849.2</v>
      </c>
      <c r="AX17" s="91"/>
      <c r="AY17" s="91"/>
      <c r="AZ17" s="152">
        <f>+AV17+AX17-AY17</f>
        <v>0</v>
      </c>
      <c r="BA17" s="152">
        <v>428401.7</v>
      </c>
      <c r="BB17" s="91"/>
      <c r="BC17" s="91"/>
      <c r="BD17" s="68">
        <f t="shared" ref="BD17:BD34" si="38">+AZ17+BB17-BC17</f>
        <v>0</v>
      </c>
      <c r="BE17" s="68">
        <f>+BA17</f>
        <v>428401.7</v>
      </c>
      <c r="BF17" s="91"/>
      <c r="BG17" s="91"/>
      <c r="BH17" s="68">
        <f t="shared" si="27"/>
        <v>0</v>
      </c>
      <c r="BI17" s="68">
        <f>+BE17</f>
        <v>428401.7</v>
      </c>
      <c r="BJ17" s="91"/>
      <c r="BK17" s="91"/>
      <c r="BL17" s="68">
        <f t="shared" si="28"/>
        <v>0</v>
      </c>
      <c r="BM17" s="68">
        <f>+BI17</f>
        <v>428401.7</v>
      </c>
      <c r="BN17" s="91"/>
      <c r="BO17" s="91"/>
      <c r="BP17" s="68">
        <f t="shared" si="29"/>
        <v>0</v>
      </c>
      <c r="BQ17" s="68">
        <f>+BM17</f>
        <v>428401.7</v>
      </c>
      <c r="BR17" s="91"/>
      <c r="BS17" s="91"/>
      <c r="BT17" s="68">
        <f t="shared" si="30"/>
        <v>0</v>
      </c>
      <c r="BU17" s="68">
        <f>+BQ17</f>
        <v>428401.7</v>
      </c>
      <c r="BV17" s="91"/>
      <c r="BW17" s="91"/>
      <c r="BX17" s="68">
        <f t="shared" si="31"/>
        <v>0</v>
      </c>
      <c r="BY17" s="68">
        <f>+BU17</f>
        <v>428401.7</v>
      </c>
      <c r="BZ17" s="91"/>
      <c r="CA17" s="91"/>
      <c r="CB17" s="68">
        <f t="shared" si="32"/>
        <v>0</v>
      </c>
      <c r="CC17" s="68">
        <f>+BY17</f>
        <v>428401.7</v>
      </c>
      <c r="CD17" s="91"/>
      <c r="CE17" s="91"/>
      <c r="CF17" s="68">
        <f t="shared" si="33"/>
        <v>0</v>
      </c>
      <c r="CG17" s="68">
        <f>+CC17</f>
        <v>428401.7</v>
      </c>
      <c r="CH17" s="91"/>
      <c r="CI17" s="91"/>
      <c r="CJ17" s="68">
        <f t="shared" si="34"/>
        <v>0</v>
      </c>
      <c r="CK17" s="68">
        <f>+CG17</f>
        <v>428401.7</v>
      </c>
      <c r="CL17" s="91"/>
      <c r="CM17" s="91"/>
      <c r="CN17" s="68">
        <f t="shared" si="35"/>
        <v>0</v>
      </c>
      <c r="CO17" s="68">
        <f>+CK17</f>
        <v>428401.7</v>
      </c>
      <c r="CP17" s="91"/>
      <c r="CQ17" s="91"/>
      <c r="CR17" s="68">
        <f t="shared" si="36"/>
        <v>0</v>
      </c>
      <c r="CS17" s="68">
        <f>+CO17</f>
        <v>428401.7</v>
      </c>
      <c r="CT17" s="91"/>
      <c r="CU17" s="91"/>
      <c r="CV17" s="68">
        <f t="shared" si="37"/>
        <v>0</v>
      </c>
      <c r="CW17" s="68">
        <f>+CS17</f>
        <v>428401.7</v>
      </c>
    </row>
    <row r="18" spans="1:101" x14ac:dyDescent="0.5">
      <c r="A18" s="67">
        <v>12</v>
      </c>
      <c r="B18" s="81" t="s">
        <v>163</v>
      </c>
      <c r="C18" s="67"/>
      <c r="D18" s="68"/>
      <c r="E18" s="68"/>
      <c r="F18" s="91">
        <v>580</v>
      </c>
      <c r="G18" s="91"/>
      <c r="H18" s="68">
        <f t="shared" si="20"/>
        <v>580</v>
      </c>
      <c r="I18" s="68"/>
      <c r="J18" s="91">
        <f>21700+2030</f>
        <v>23730</v>
      </c>
      <c r="K18" s="91"/>
      <c r="L18" s="68">
        <f>+H18+J18-K18</f>
        <v>24310</v>
      </c>
      <c r="M18" s="68"/>
      <c r="N18" s="91">
        <f>8670+2700</f>
        <v>11370</v>
      </c>
      <c r="O18" s="91"/>
      <c r="P18" s="68">
        <f t="shared" si="21"/>
        <v>35680</v>
      </c>
      <c r="Q18" s="68"/>
      <c r="R18" s="91">
        <v>290</v>
      </c>
      <c r="S18" s="91"/>
      <c r="T18" s="68">
        <f>+P18+R18-S18</f>
        <v>35970</v>
      </c>
      <c r="U18" s="68"/>
      <c r="V18" s="91"/>
      <c r="W18" s="91"/>
      <c r="X18" s="68">
        <f>+T18+V18-W18</f>
        <v>35970</v>
      </c>
      <c r="Y18" s="68"/>
      <c r="Z18" s="91">
        <v>3130</v>
      </c>
      <c r="AA18" s="91"/>
      <c r="AB18" s="68">
        <f t="shared" si="22"/>
        <v>39100</v>
      </c>
      <c r="AC18" s="68"/>
      <c r="AD18" s="91"/>
      <c r="AE18" s="91"/>
      <c r="AF18" s="68">
        <f t="shared" si="23"/>
        <v>39100</v>
      </c>
      <c r="AG18" s="68"/>
      <c r="AH18" s="91"/>
      <c r="AI18" s="91"/>
      <c r="AJ18" s="68">
        <f t="shared" si="24"/>
        <v>39100</v>
      </c>
      <c r="AK18" s="68"/>
      <c r="AL18" s="91"/>
      <c r="AM18" s="91"/>
      <c r="AN18" s="68">
        <f>+AJ18+AL18-AM18</f>
        <v>39100</v>
      </c>
      <c r="AO18" s="68"/>
      <c r="AP18" s="91">
        <v>1270</v>
      </c>
      <c r="AQ18" s="91"/>
      <c r="AR18" s="68">
        <f t="shared" si="25"/>
        <v>40370</v>
      </c>
      <c r="AS18" s="68"/>
      <c r="AT18" s="91">
        <v>1230</v>
      </c>
      <c r="AU18" s="91"/>
      <c r="AV18" s="68">
        <f t="shared" si="26"/>
        <v>41600</v>
      </c>
      <c r="AW18" s="68"/>
      <c r="AX18" s="91"/>
      <c r="AY18" s="91"/>
      <c r="AZ18" s="152">
        <f>+AV18+AX18-AY18</f>
        <v>41600</v>
      </c>
      <c r="BA18" s="152"/>
      <c r="BB18" s="91"/>
      <c r="BC18" s="91"/>
      <c r="BD18" s="68">
        <f t="shared" si="38"/>
        <v>41600</v>
      </c>
      <c r="BE18" s="68"/>
      <c r="BF18" s="91">
        <v>430</v>
      </c>
      <c r="BG18" s="91"/>
      <c r="BH18" s="68">
        <f t="shared" si="27"/>
        <v>42030</v>
      </c>
      <c r="BI18" s="68"/>
      <c r="BJ18" s="91"/>
      <c r="BK18" s="91"/>
      <c r="BL18" s="68">
        <f t="shared" si="28"/>
        <v>42030</v>
      </c>
      <c r="BM18" s="68"/>
      <c r="BN18" s="91">
        <v>8930</v>
      </c>
      <c r="BO18" s="91"/>
      <c r="BP18" s="68">
        <f t="shared" si="29"/>
        <v>50960</v>
      </c>
      <c r="BQ18" s="68"/>
      <c r="BR18" s="91"/>
      <c r="BS18" s="91"/>
      <c r="BT18" s="68">
        <f t="shared" si="30"/>
        <v>50960</v>
      </c>
      <c r="BU18" s="68"/>
      <c r="BV18" s="91">
        <v>8800</v>
      </c>
      <c r="BW18" s="91"/>
      <c r="BX18" s="68">
        <f t="shared" si="31"/>
        <v>59760</v>
      </c>
      <c r="BY18" s="68"/>
      <c r="BZ18" s="91"/>
      <c r="CA18" s="91"/>
      <c r="CB18" s="68">
        <f t="shared" si="32"/>
        <v>59760</v>
      </c>
      <c r="CC18" s="68"/>
      <c r="CD18" s="91">
        <v>2130</v>
      </c>
      <c r="CE18" s="91"/>
      <c r="CF18" s="68">
        <f t="shared" si="33"/>
        <v>61890</v>
      </c>
      <c r="CG18" s="68"/>
      <c r="CH18" s="91">
        <v>5400</v>
      </c>
      <c r="CI18" s="91"/>
      <c r="CJ18" s="68">
        <f t="shared" si="34"/>
        <v>67290</v>
      </c>
      <c r="CK18" s="68"/>
      <c r="CL18" s="91">
        <v>3380</v>
      </c>
      <c r="CM18" s="91">
        <v>1270</v>
      </c>
      <c r="CN18" s="68">
        <f t="shared" si="35"/>
        <v>69400</v>
      </c>
      <c r="CO18" s="68"/>
      <c r="CP18" s="91">
        <v>3150</v>
      </c>
      <c r="CQ18" s="91"/>
      <c r="CR18" s="68">
        <f t="shared" si="36"/>
        <v>72550</v>
      </c>
      <c r="CS18" s="68"/>
      <c r="CT18" s="91"/>
      <c r="CU18" s="91">
        <v>8500</v>
      </c>
      <c r="CV18" s="68">
        <f t="shared" si="37"/>
        <v>64050</v>
      </c>
      <c r="CW18" s="68"/>
    </row>
    <row r="19" spans="1:101" x14ac:dyDescent="0.5">
      <c r="A19" s="67">
        <v>13</v>
      </c>
      <c r="B19" s="81" t="s">
        <v>135</v>
      </c>
      <c r="C19" s="67">
        <v>147</v>
      </c>
      <c r="D19" s="68">
        <v>6703</v>
      </c>
      <c r="E19" s="68">
        <f>+'กระดาษทำการ 30 เม.ย.58'!BQ21</f>
        <v>0</v>
      </c>
      <c r="F19" s="91"/>
      <c r="G19" s="91"/>
      <c r="H19" s="68">
        <f t="shared" si="20"/>
        <v>6703</v>
      </c>
      <c r="I19" s="68"/>
      <c r="J19" s="91"/>
      <c r="K19" s="91"/>
      <c r="L19" s="68"/>
      <c r="M19" s="68"/>
      <c r="N19" s="91"/>
      <c r="O19" s="91"/>
      <c r="P19" s="68">
        <f t="shared" si="21"/>
        <v>0</v>
      </c>
      <c r="Q19" s="68"/>
      <c r="R19" s="91"/>
      <c r="S19" s="91"/>
      <c r="T19" s="68">
        <f>+P19+R19-S19</f>
        <v>0</v>
      </c>
      <c r="U19" s="68"/>
      <c r="V19" s="91"/>
      <c r="W19" s="91"/>
      <c r="X19" s="68">
        <f>+T19+V19-W19</f>
        <v>0</v>
      </c>
      <c r="Y19" s="68"/>
      <c r="Z19" s="91"/>
      <c r="AA19" s="91"/>
      <c r="AB19" s="68">
        <f t="shared" si="22"/>
        <v>0</v>
      </c>
      <c r="AC19" s="68"/>
      <c r="AD19" s="91"/>
      <c r="AE19" s="91"/>
      <c r="AF19" s="68">
        <f t="shared" si="23"/>
        <v>0</v>
      </c>
      <c r="AG19" s="68"/>
      <c r="AH19" s="91"/>
      <c r="AI19" s="91"/>
      <c r="AJ19" s="68">
        <f t="shared" si="24"/>
        <v>0</v>
      </c>
      <c r="AK19" s="68">
        <f t="shared" ref="AK19:AK27" si="39">+AG19+AI19-AH19</f>
        <v>0</v>
      </c>
      <c r="AL19" s="91"/>
      <c r="AM19" s="91"/>
      <c r="AN19" s="68"/>
      <c r="AO19" s="68"/>
      <c r="AP19" s="91"/>
      <c r="AQ19" s="91"/>
      <c r="AR19" s="68">
        <f t="shared" si="25"/>
        <v>0</v>
      </c>
      <c r="AS19" s="68">
        <f t="shared" ref="AS19:AS27" si="40">+AO19+AQ19-AP19</f>
        <v>0</v>
      </c>
      <c r="AT19" s="91"/>
      <c r="AU19" s="91"/>
      <c r="AV19" s="68">
        <f t="shared" si="26"/>
        <v>0</v>
      </c>
      <c r="AW19" s="68">
        <f>+AR19+AT19-AU19</f>
        <v>0</v>
      </c>
      <c r="AX19" s="91"/>
      <c r="AY19" s="91"/>
      <c r="AZ19" s="152">
        <v>0</v>
      </c>
      <c r="BA19" s="152"/>
      <c r="BB19" s="91"/>
      <c r="BC19" s="91"/>
      <c r="BD19" s="68">
        <f t="shared" si="38"/>
        <v>0</v>
      </c>
      <c r="BE19" s="68"/>
      <c r="BF19" s="91"/>
      <c r="BG19" s="91"/>
      <c r="BH19" s="68">
        <f t="shared" si="27"/>
        <v>0</v>
      </c>
      <c r="BI19" s="68"/>
      <c r="BJ19" s="91"/>
      <c r="BK19" s="91"/>
      <c r="BL19" s="68">
        <f t="shared" si="28"/>
        <v>0</v>
      </c>
      <c r="BM19" s="68"/>
      <c r="BN19" s="91"/>
      <c r="BO19" s="91"/>
      <c r="BP19" s="68">
        <f t="shared" si="29"/>
        <v>0</v>
      </c>
      <c r="BQ19" s="68"/>
      <c r="BR19" s="91"/>
      <c r="BS19" s="91"/>
      <c r="BT19" s="68">
        <f t="shared" si="30"/>
        <v>0</v>
      </c>
      <c r="BU19" s="68"/>
      <c r="BV19" s="91"/>
      <c r="BW19" s="91"/>
      <c r="BX19" s="68">
        <f t="shared" si="31"/>
        <v>0</v>
      </c>
      <c r="BY19" s="68"/>
      <c r="BZ19" s="91"/>
      <c r="CA19" s="91"/>
      <c r="CB19" s="68">
        <f t="shared" si="32"/>
        <v>0</v>
      </c>
      <c r="CC19" s="68"/>
      <c r="CD19" s="91"/>
      <c r="CE19" s="91"/>
      <c r="CF19" s="68">
        <f t="shared" si="33"/>
        <v>0</v>
      </c>
      <c r="CG19" s="68"/>
      <c r="CH19" s="91"/>
      <c r="CI19" s="91"/>
      <c r="CJ19" s="68">
        <f t="shared" si="34"/>
        <v>0</v>
      </c>
      <c r="CK19" s="68"/>
      <c r="CL19" s="91"/>
      <c r="CM19" s="91"/>
      <c r="CN19" s="68">
        <f t="shared" si="35"/>
        <v>0</v>
      </c>
      <c r="CO19" s="68"/>
      <c r="CP19" s="91"/>
      <c r="CQ19" s="91"/>
      <c r="CR19" s="68">
        <f t="shared" si="36"/>
        <v>0</v>
      </c>
      <c r="CS19" s="68"/>
      <c r="CT19" s="91"/>
      <c r="CU19" s="91"/>
      <c r="CV19" s="68">
        <f t="shared" si="37"/>
        <v>0</v>
      </c>
      <c r="CW19" s="68"/>
    </row>
    <row r="20" spans="1:101" x14ac:dyDescent="0.5">
      <c r="A20" s="67">
        <v>14</v>
      </c>
      <c r="B20" s="81" t="s">
        <v>7</v>
      </c>
      <c r="C20" s="67">
        <v>53</v>
      </c>
      <c r="D20" s="68">
        <f>+'กระดาษทำการ 30 เม.ย.58'!BP22</f>
        <v>45031</v>
      </c>
      <c r="E20" s="68">
        <f>+'กระดาษทำการ 30 เม.ย.58'!BQ22</f>
        <v>0</v>
      </c>
      <c r="F20" s="91"/>
      <c r="G20" s="91"/>
      <c r="H20" s="68">
        <f t="shared" si="20"/>
        <v>45031</v>
      </c>
      <c r="I20" s="68"/>
      <c r="J20" s="91"/>
      <c r="K20" s="91"/>
      <c r="L20" s="68">
        <f t="shared" ref="L20:L27" si="41">+H20+J20-K20</f>
        <v>45031</v>
      </c>
      <c r="M20" s="68"/>
      <c r="N20" s="91"/>
      <c r="O20" s="91"/>
      <c r="P20" s="68">
        <f t="shared" si="21"/>
        <v>45031</v>
      </c>
      <c r="Q20" s="68"/>
      <c r="R20" s="91"/>
      <c r="S20" s="91"/>
      <c r="T20" s="68">
        <f>+P20+R20-S20</f>
        <v>45031</v>
      </c>
      <c r="U20" s="68"/>
      <c r="V20" s="91"/>
      <c r="W20" s="91"/>
      <c r="X20" s="68">
        <f>+T20+V20-W20</f>
        <v>45031</v>
      </c>
      <c r="Y20" s="68"/>
      <c r="Z20" s="91"/>
      <c r="AA20" s="91"/>
      <c r="AB20" s="68">
        <f t="shared" si="22"/>
        <v>45031</v>
      </c>
      <c r="AC20" s="68"/>
      <c r="AD20" s="91"/>
      <c r="AE20" s="91"/>
      <c r="AF20" s="68">
        <f t="shared" si="23"/>
        <v>45031</v>
      </c>
      <c r="AG20" s="68"/>
      <c r="AH20" s="91"/>
      <c r="AI20" s="91"/>
      <c r="AJ20" s="68">
        <f t="shared" si="24"/>
        <v>45031</v>
      </c>
      <c r="AK20" s="68">
        <f t="shared" si="39"/>
        <v>0</v>
      </c>
      <c r="AL20" s="91"/>
      <c r="AM20" s="91"/>
      <c r="AN20" s="68">
        <f t="shared" ref="AN20:AN28" si="42">+AJ20</f>
        <v>45031</v>
      </c>
      <c r="AO20" s="68"/>
      <c r="AP20" s="91"/>
      <c r="AQ20" s="91"/>
      <c r="AR20" s="68">
        <f t="shared" si="25"/>
        <v>45031</v>
      </c>
      <c r="AS20" s="68">
        <f t="shared" si="40"/>
        <v>0</v>
      </c>
      <c r="AT20" s="91"/>
      <c r="AU20" s="91"/>
      <c r="AV20" s="68">
        <f t="shared" si="26"/>
        <v>45031</v>
      </c>
      <c r="AW20" s="68"/>
      <c r="AX20" s="91"/>
      <c r="AY20" s="91"/>
      <c r="AZ20" s="152">
        <f>+AV20+AX20-AY20</f>
        <v>45031</v>
      </c>
      <c r="BA20" s="152"/>
      <c r="BB20" s="91"/>
      <c r="BC20" s="91"/>
      <c r="BD20" s="68">
        <f t="shared" si="38"/>
        <v>45031</v>
      </c>
      <c r="BE20" s="68"/>
      <c r="BF20" s="91"/>
      <c r="BG20" s="91"/>
      <c r="BH20" s="68">
        <f t="shared" si="27"/>
        <v>45031</v>
      </c>
      <c r="BI20" s="68"/>
      <c r="BJ20" s="91"/>
      <c r="BK20" s="91"/>
      <c r="BL20" s="68">
        <f t="shared" si="28"/>
        <v>45031</v>
      </c>
      <c r="BM20" s="68"/>
      <c r="BN20" s="91"/>
      <c r="BO20" s="91"/>
      <c r="BP20" s="68">
        <f t="shared" si="29"/>
        <v>45031</v>
      </c>
      <c r="BQ20" s="68"/>
      <c r="BR20" s="91"/>
      <c r="BS20" s="91"/>
      <c r="BT20" s="68">
        <f t="shared" si="30"/>
        <v>45031</v>
      </c>
      <c r="BU20" s="68"/>
      <c r="BV20" s="91"/>
      <c r="BW20" s="91"/>
      <c r="BX20" s="68">
        <f t="shared" si="31"/>
        <v>45031</v>
      </c>
      <c r="BY20" s="68"/>
      <c r="BZ20" s="91"/>
      <c r="CA20" s="91"/>
      <c r="CB20" s="68">
        <f t="shared" si="32"/>
        <v>45031</v>
      </c>
      <c r="CC20" s="68"/>
      <c r="CD20" s="91"/>
      <c r="CE20" s="91"/>
      <c r="CF20" s="68">
        <f t="shared" si="33"/>
        <v>45031</v>
      </c>
      <c r="CG20" s="68"/>
      <c r="CH20" s="91"/>
      <c r="CI20" s="91"/>
      <c r="CJ20" s="68">
        <f t="shared" si="34"/>
        <v>45031</v>
      </c>
      <c r="CK20" s="68"/>
      <c r="CL20" s="91"/>
      <c r="CM20" s="91"/>
      <c r="CN20" s="68">
        <f t="shared" si="35"/>
        <v>45031</v>
      </c>
      <c r="CO20" s="68"/>
      <c r="CP20" s="91"/>
      <c r="CQ20" s="91"/>
      <c r="CR20" s="68">
        <f t="shared" si="36"/>
        <v>45031</v>
      </c>
      <c r="CS20" s="68"/>
      <c r="CT20" s="91"/>
      <c r="CU20" s="91"/>
      <c r="CV20" s="68">
        <f t="shared" si="37"/>
        <v>45031</v>
      </c>
      <c r="CW20" s="68"/>
    </row>
    <row r="21" spans="1:101" x14ac:dyDescent="0.5">
      <c r="A21" s="67">
        <v>15</v>
      </c>
      <c r="B21" s="81" t="s">
        <v>49</v>
      </c>
      <c r="C21" s="67">
        <v>55</v>
      </c>
      <c r="D21" s="68">
        <f>+'กระดาษทำการ 30 เม.ย.58'!BP23</f>
        <v>0</v>
      </c>
      <c r="E21" s="68">
        <f>+'กระดาษทำการ 30 เม.ย.58'!BQ23</f>
        <v>45031</v>
      </c>
      <c r="F21" s="91"/>
      <c r="G21" s="91"/>
      <c r="H21" s="68">
        <f t="shared" si="20"/>
        <v>0</v>
      </c>
      <c r="I21" s="68">
        <f>+E21</f>
        <v>45031</v>
      </c>
      <c r="J21" s="91"/>
      <c r="K21" s="91"/>
      <c r="L21" s="68">
        <f t="shared" si="41"/>
        <v>0</v>
      </c>
      <c r="M21" s="68">
        <f>+I21</f>
        <v>45031</v>
      </c>
      <c r="N21" s="91"/>
      <c r="O21" s="91"/>
      <c r="P21" s="68">
        <f t="shared" si="21"/>
        <v>0</v>
      </c>
      <c r="Q21" s="68">
        <f>+M21</f>
        <v>45031</v>
      </c>
      <c r="R21" s="91"/>
      <c r="S21" s="91"/>
      <c r="T21" s="68"/>
      <c r="U21" s="68">
        <f>+Q21</f>
        <v>45031</v>
      </c>
      <c r="V21" s="91"/>
      <c r="W21" s="91"/>
      <c r="X21" s="68"/>
      <c r="Y21" s="68">
        <f>+U21+W21-V21</f>
        <v>45031</v>
      </c>
      <c r="Z21" s="91"/>
      <c r="AA21" s="91"/>
      <c r="AB21" s="68">
        <f t="shared" si="22"/>
        <v>0</v>
      </c>
      <c r="AC21" s="68">
        <f>+Y21</f>
        <v>45031</v>
      </c>
      <c r="AD21" s="91"/>
      <c r="AE21" s="91"/>
      <c r="AF21" s="68">
        <f t="shared" si="23"/>
        <v>0</v>
      </c>
      <c r="AG21" s="68">
        <f>+AC21</f>
        <v>45031</v>
      </c>
      <c r="AH21" s="91"/>
      <c r="AI21" s="91"/>
      <c r="AJ21" s="68">
        <f t="shared" si="24"/>
        <v>0</v>
      </c>
      <c r="AK21" s="68">
        <f t="shared" si="39"/>
        <v>45031</v>
      </c>
      <c r="AL21" s="91"/>
      <c r="AM21" s="91"/>
      <c r="AN21" s="68">
        <f t="shared" si="42"/>
        <v>0</v>
      </c>
      <c r="AO21" s="68">
        <f>+AK21</f>
        <v>45031</v>
      </c>
      <c r="AP21" s="91"/>
      <c r="AQ21" s="91"/>
      <c r="AR21" s="68">
        <f t="shared" si="25"/>
        <v>0</v>
      </c>
      <c r="AS21" s="68">
        <f t="shared" si="40"/>
        <v>45031</v>
      </c>
      <c r="AT21" s="91"/>
      <c r="AU21" s="91"/>
      <c r="AV21" s="68">
        <f t="shared" si="26"/>
        <v>0</v>
      </c>
      <c r="AW21" s="68">
        <f>+AS21</f>
        <v>45031</v>
      </c>
      <c r="AX21" s="91"/>
      <c r="AY21" s="91"/>
      <c r="AZ21" s="152"/>
      <c r="BA21" s="152">
        <f>+AW21</f>
        <v>45031</v>
      </c>
      <c r="BB21" s="91"/>
      <c r="BC21" s="91"/>
      <c r="BD21" s="68">
        <f t="shared" si="38"/>
        <v>0</v>
      </c>
      <c r="BE21" s="68">
        <f>+BA21</f>
        <v>45031</v>
      </c>
      <c r="BF21" s="91"/>
      <c r="BG21" s="91"/>
      <c r="BH21" s="68">
        <f t="shared" si="27"/>
        <v>0</v>
      </c>
      <c r="BI21" s="68">
        <f>+BE21</f>
        <v>45031</v>
      </c>
      <c r="BJ21" s="91"/>
      <c r="BK21" s="91"/>
      <c r="BL21" s="68">
        <f t="shared" si="28"/>
        <v>0</v>
      </c>
      <c r="BM21" s="68">
        <f>+BI21</f>
        <v>45031</v>
      </c>
      <c r="BN21" s="91"/>
      <c r="BO21" s="91"/>
      <c r="BP21" s="68">
        <f t="shared" si="29"/>
        <v>0</v>
      </c>
      <c r="BQ21" s="68">
        <f>+BM21</f>
        <v>45031</v>
      </c>
      <c r="BR21" s="91"/>
      <c r="BS21" s="91"/>
      <c r="BT21" s="68">
        <f t="shared" si="30"/>
        <v>0</v>
      </c>
      <c r="BU21" s="68">
        <f>+BQ21</f>
        <v>45031</v>
      </c>
      <c r="BV21" s="91"/>
      <c r="BW21" s="91"/>
      <c r="BX21" s="68">
        <f t="shared" si="31"/>
        <v>0</v>
      </c>
      <c r="BY21" s="68">
        <f>+BU21</f>
        <v>45031</v>
      </c>
      <c r="BZ21" s="91"/>
      <c r="CA21" s="91"/>
      <c r="CB21" s="68">
        <f t="shared" si="32"/>
        <v>0</v>
      </c>
      <c r="CC21" s="68">
        <f>+BY21</f>
        <v>45031</v>
      </c>
      <c r="CD21" s="91"/>
      <c r="CE21" s="91"/>
      <c r="CF21" s="68">
        <f t="shared" si="33"/>
        <v>0</v>
      </c>
      <c r="CG21" s="68">
        <f>+CC21</f>
        <v>45031</v>
      </c>
      <c r="CH21" s="91"/>
      <c r="CI21" s="91"/>
      <c r="CJ21" s="68">
        <f t="shared" si="34"/>
        <v>0</v>
      </c>
      <c r="CK21" s="68">
        <f>+CG21</f>
        <v>45031</v>
      </c>
      <c r="CL21" s="91"/>
      <c r="CM21" s="91"/>
      <c r="CN21" s="68">
        <f t="shared" si="35"/>
        <v>0</v>
      </c>
      <c r="CO21" s="68">
        <f>+CK21</f>
        <v>45031</v>
      </c>
      <c r="CP21" s="91"/>
      <c r="CQ21" s="91"/>
      <c r="CR21" s="68">
        <f t="shared" si="36"/>
        <v>0</v>
      </c>
      <c r="CS21" s="68">
        <f>+CO21</f>
        <v>45031</v>
      </c>
      <c r="CT21" s="91"/>
      <c r="CU21" s="91"/>
      <c r="CV21" s="68">
        <f t="shared" si="37"/>
        <v>0</v>
      </c>
      <c r="CW21" s="68">
        <f>+CS21</f>
        <v>45031</v>
      </c>
    </row>
    <row r="22" spans="1:101" x14ac:dyDescent="0.5">
      <c r="A22" s="67">
        <v>16</v>
      </c>
      <c r="B22" s="81" t="s">
        <v>77</v>
      </c>
      <c r="C22" s="67"/>
      <c r="D22" s="68">
        <f>+'กระดาษทำการ 30 เม.ย.58'!BP24</f>
        <v>0</v>
      </c>
      <c r="E22" s="68">
        <f>+'กระดาษทำการ 30 เม.ย.58'!BQ24</f>
        <v>0</v>
      </c>
      <c r="F22" s="91"/>
      <c r="G22" s="91"/>
      <c r="H22" s="68">
        <f t="shared" si="20"/>
        <v>0</v>
      </c>
      <c r="I22" s="68"/>
      <c r="J22" s="91"/>
      <c r="K22" s="91"/>
      <c r="L22" s="68">
        <f t="shared" si="41"/>
        <v>0</v>
      </c>
      <c r="M22" s="68"/>
      <c r="N22" s="91"/>
      <c r="O22" s="91"/>
      <c r="P22" s="68">
        <f t="shared" si="21"/>
        <v>0</v>
      </c>
      <c r="Q22" s="68"/>
      <c r="R22" s="91"/>
      <c r="S22" s="91"/>
      <c r="T22" s="68"/>
      <c r="U22" s="68"/>
      <c r="V22" s="91"/>
      <c r="W22" s="91"/>
      <c r="X22" s="68"/>
      <c r="Y22" s="68"/>
      <c r="Z22" s="91"/>
      <c r="AA22" s="91"/>
      <c r="AB22" s="68">
        <f t="shared" si="22"/>
        <v>0</v>
      </c>
      <c r="AC22" s="68"/>
      <c r="AD22" s="91"/>
      <c r="AE22" s="91"/>
      <c r="AF22" s="68">
        <f t="shared" si="23"/>
        <v>0</v>
      </c>
      <c r="AG22" s="68"/>
      <c r="AH22" s="91"/>
      <c r="AI22" s="91"/>
      <c r="AJ22" s="68">
        <f t="shared" si="24"/>
        <v>0</v>
      </c>
      <c r="AK22" s="68">
        <f t="shared" si="39"/>
        <v>0</v>
      </c>
      <c r="AL22" s="91"/>
      <c r="AM22" s="91"/>
      <c r="AN22" s="68">
        <f t="shared" si="42"/>
        <v>0</v>
      </c>
      <c r="AO22" s="68"/>
      <c r="AP22" s="91"/>
      <c r="AQ22" s="91"/>
      <c r="AR22" s="68">
        <f t="shared" si="25"/>
        <v>0</v>
      </c>
      <c r="AS22" s="68">
        <f t="shared" si="40"/>
        <v>0</v>
      </c>
      <c r="AT22" s="91"/>
      <c r="AU22" s="91"/>
      <c r="AV22" s="68">
        <f t="shared" si="26"/>
        <v>0</v>
      </c>
      <c r="AW22" s="68"/>
      <c r="AX22" s="91"/>
      <c r="AY22" s="91"/>
      <c r="AZ22" s="152">
        <f>+AV22+AX22-AY22</f>
        <v>0</v>
      </c>
      <c r="BA22" s="152"/>
      <c r="BB22" s="91"/>
      <c r="BC22" s="91"/>
      <c r="BD22" s="68">
        <f t="shared" si="38"/>
        <v>0</v>
      </c>
      <c r="BE22" s="68"/>
      <c r="BF22" s="91"/>
      <c r="BG22" s="91"/>
      <c r="BH22" s="68">
        <f t="shared" si="27"/>
        <v>0</v>
      </c>
      <c r="BI22" s="68"/>
      <c r="BJ22" s="91"/>
      <c r="BK22" s="91"/>
      <c r="BL22" s="68">
        <f t="shared" si="28"/>
        <v>0</v>
      </c>
      <c r="BM22" s="68"/>
      <c r="BN22" s="91"/>
      <c r="BO22" s="91"/>
      <c r="BP22" s="68">
        <f t="shared" si="29"/>
        <v>0</v>
      </c>
      <c r="BQ22" s="68"/>
      <c r="BR22" s="91"/>
      <c r="BS22" s="91"/>
      <c r="BT22" s="68">
        <f t="shared" si="30"/>
        <v>0</v>
      </c>
      <c r="BU22" s="68"/>
      <c r="BV22" s="91"/>
      <c r="BW22" s="91"/>
      <c r="BX22" s="68">
        <f t="shared" si="31"/>
        <v>0</v>
      </c>
      <c r="BY22" s="68"/>
      <c r="BZ22" s="91"/>
      <c r="CA22" s="91"/>
      <c r="CB22" s="68">
        <f t="shared" si="32"/>
        <v>0</v>
      </c>
      <c r="CC22" s="68"/>
      <c r="CD22" s="91"/>
      <c r="CE22" s="91"/>
      <c r="CF22" s="68">
        <f t="shared" si="33"/>
        <v>0</v>
      </c>
      <c r="CG22" s="68"/>
      <c r="CH22" s="91"/>
      <c r="CI22" s="91"/>
      <c r="CJ22" s="68">
        <f t="shared" si="34"/>
        <v>0</v>
      </c>
      <c r="CK22" s="68"/>
      <c r="CL22" s="91"/>
      <c r="CM22" s="91"/>
      <c r="CN22" s="68">
        <f t="shared" si="35"/>
        <v>0</v>
      </c>
      <c r="CO22" s="68"/>
      <c r="CP22" s="91"/>
      <c r="CQ22" s="91"/>
      <c r="CR22" s="68">
        <f t="shared" si="36"/>
        <v>0</v>
      </c>
      <c r="CS22" s="68"/>
      <c r="CT22" s="91"/>
      <c r="CU22" s="91"/>
      <c r="CV22" s="68">
        <f t="shared" si="37"/>
        <v>0</v>
      </c>
      <c r="CW22" s="68"/>
    </row>
    <row r="23" spans="1:101" x14ac:dyDescent="0.5">
      <c r="A23" s="67">
        <v>17</v>
      </c>
      <c r="B23" s="81" t="s">
        <v>50</v>
      </c>
      <c r="C23" s="67"/>
      <c r="D23" s="68">
        <f>+'กระดาษทำการ 30 เม.ย.58'!BP25</f>
        <v>5387</v>
      </c>
      <c r="E23" s="68">
        <f>+'กระดาษทำการ 30 เม.ย.58'!BQ25</f>
        <v>0</v>
      </c>
      <c r="F23" s="91"/>
      <c r="G23" s="91"/>
      <c r="H23" s="68">
        <f t="shared" si="20"/>
        <v>5387</v>
      </c>
      <c r="I23" s="68"/>
      <c r="J23" s="91"/>
      <c r="K23" s="91"/>
      <c r="L23" s="68">
        <f t="shared" si="41"/>
        <v>5387</v>
      </c>
      <c r="M23" s="68"/>
      <c r="N23" s="91"/>
      <c r="O23" s="91"/>
      <c r="P23" s="68">
        <f t="shared" si="21"/>
        <v>5387</v>
      </c>
      <c r="Q23" s="68"/>
      <c r="R23" s="91"/>
      <c r="S23" s="91"/>
      <c r="T23" s="68">
        <f>+P23+R23-S23</f>
        <v>5387</v>
      </c>
      <c r="U23" s="68"/>
      <c r="V23" s="91"/>
      <c r="W23" s="91"/>
      <c r="X23" s="68">
        <f>+T23+V23-W23</f>
        <v>5387</v>
      </c>
      <c r="Y23" s="68"/>
      <c r="Z23" s="91"/>
      <c r="AA23" s="91"/>
      <c r="AB23" s="68">
        <f t="shared" si="22"/>
        <v>5387</v>
      </c>
      <c r="AC23" s="68"/>
      <c r="AD23" s="91"/>
      <c r="AE23" s="91"/>
      <c r="AF23" s="68">
        <f t="shared" si="23"/>
        <v>5387</v>
      </c>
      <c r="AG23" s="68"/>
      <c r="AH23" s="91"/>
      <c r="AI23" s="91"/>
      <c r="AJ23" s="68">
        <f t="shared" si="24"/>
        <v>5387</v>
      </c>
      <c r="AK23" s="68">
        <f t="shared" si="39"/>
        <v>0</v>
      </c>
      <c r="AL23" s="91"/>
      <c r="AM23" s="91"/>
      <c r="AN23" s="68">
        <f t="shared" si="42"/>
        <v>5387</v>
      </c>
      <c r="AO23" s="68"/>
      <c r="AP23" s="91"/>
      <c r="AQ23" s="91"/>
      <c r="AR23" s="68">
        <f t="shared" si="25"/>
        <v>5387</v>
      </c>
      <c r="AS23" s="68">
        <f t="shared" si="40"/>
        <v>0</v>
      </c>
      <c r="AT23" s="91"/>
      <c r="AU23" s="91"/>
      <c r="AV23" s="68">
        <f t="shared" si="26"/>
        <v>5387</v>
      </c>
      <c r="AW23" s="68"/>
      <c r="AX23" s="91"/>
      <c r="AY23" s="91"/>
      <c r="AZ23" s="152">
        <f>+AV23+AX23-AY23</f>
        <v>5387</v>
      </c>
      <c r="BA23" s="152"/>
      <c r="BB23" s="91"/>
      <c r="BC23" s="91"/>
      <c r="BD23" s="68">
        <f t="shared" si="38"/>
        <v>5387</v>
      </c>
      <c r="BE23" s="68"/>
      <c r="BF23" s="91"/>
      <c r="BG23" s="91"/>
      <c r="BH23" s="68">
        <f t="shared" si="27"/>
        <v>5387</v>
      </c>
      <c r="BI23" s="68"/>
      <c r="BJ23" s="91"/>
      <c r="BK23" s="91"/>
      <c r="BL23" s="68">
        <f t="shared" si="28"/>
        <v>5387</v>
      </c>
      <c r="BM23" s="68"/>
      <c r="BN23" s="91"/>
      <c r="BO23" s="91"/>
      <c r="BP23" s="68">
        <f t="shared" si="29"/>
        <v>5387</v>
      </c>
      <c r="BQ23" s="68"/>
      <c r="BR23" s="91"/>
      <c r="BS23" s="91"/>
      <c r="BT23" s="68">
        <f t="shared" si="30"/>
        <v>5387</v>
      </c>
      <c r="BU23" s="68"/>
      <c r="BV23" s="91"/>
      <c r="BW23" s="91"/>
      <c r="BX23" s="68">
        <f t="shared" si="31"/>
        <v>5387</v>
      </c>
      <c r="BY23" s="68"/>
      <c r="BZ23" s="91"/>
      <c r="CA23" s="91"/>
      <c r="CB23" s="68">
        <f t="shared" si="32"/>
        <v>5387</v>
      </c>
      <c r="CC23" s="68"/>
      <c r="CD23" s="91"/>
      <c r="CE23" s="91"/>
      <c r="CF23" s="68">
        <f t="shared" si="33"/>
        <v>5387</v>
      </c>
      <c r="CG23" s="68"/>
      <c r="CH23" s="91"/>
      <c r="CI23" s="91"/>
      <c r="CJ23" s="68">
        <f t="shared" si="34"/>
        <v>5387</v>
      </c>
      <c r="CK23" s="68"/>
      <c r="CL23" s="91"/>
      <c r="CM23" s="91"/>
      <c r="CN23" s="68">
        <f t="shared" si="35"/>
        <v>5387</v>
      </c>
      <c r="CO23" s="68"/>
      <c r="CP23" s="91"/>
      <c r="CQ23" s="91"/>
      <c r="CR23" s="68">
        <f t="shared" si="36"/>
        <v>5387</v>
      </c>
      <c r="CS23" s="68"/>
      <c r="CT23" s="91"/>
      <c r="CU23" s="91"/>
      <c r="CV23" s="68">
        <f t="shared" si="37"/>
        <v>5387</v>
      </c>
      <c r="CW23" s="68"/>
    </row>
    <row r="24" spans="1:101" x14ac:dyDescent="0.5">
      <c r="A24" s="67">
        <v>18</v>
      </c>
      <c r="B24" s="81" t="s">
        <v>8</v>
      </c>
      <c r="C24" s="67">
        <v>63</v>
      </c>
      <c r="D24" s="68">
        <f>+'กระดาษทำการ 30 เม.ย.58'!BP26</f>
        <v>1222</v>
      </c>
      <c r="E24" s="68">
        <f>+'กระดาษทำการ 30 เม.ย.58'!BQ26</f>
        <v>0</v>
      </c>
      <c r="F24" s="91"/>
      <c r="G24" s="91"/>
      <c r="H24" s="68">
        <f t="shared" si="20"/>
        <v>1222</v>
      </c>
      <c r="I24" s="68"/>
      <c r="J24" s="91"/>
      <c r="K24" s="91"/>
      <c r="L24" s="68">
        <f t="shared" si="41"/>
        <v>1222</v>
      </c>
      <c r="M24" s="68"/>
      <c r="N24" s="91"/>
      <c r="O24" s="91"/>
      <c r="P24" s="68">
        <f t="shared" si="21"/>
        <v>1222</v>
      </c>
      <c r="Q24" s="68"/>
      <c r="R24" s="91"/>
      <c r="S24" s="91"/>
      <c r="T24" s="68">
        <f>+P24+R24-S24</f>
        <v>1222</v>
      </c>
      <c r="U24" s="68"/>
      <c r="V24" s="91"/>
      <c r="W24" s="91"/>
      <c r="X24" s="68">
        <f>+T24+V24-W24</f>
        <v>1222</v>
      </c>
      <c r="Y24" s="68"/>
      <c r="Z24" s="91"/>
      <c r="AA24" s="91"/>
      <c r="AB24" s="68">
        <f t="shared" si="22"/>
        <v>1222</v>
      </c>
      <c r="AC24" s="68"/>
      <c r="AD24" s="91"/>
      <c r="AE24" s="91"/>
      <c r="AF24" s="68">
        <f t="shared" si="23"/>
        <v>1222</v>
      </c>
      <c r="AG24" s="68"/>
      <c r="AH24" s="91"/>
      <c r="AI24" s="91"/>
      <c r="AJ24" s="68">
        <f t="shared" si="24"/>
        <v>1222</v>
      </c>
      <c r="AK24" s="68">
        <f t="shared" si="39"/>
        <v>0</v>
      </c>
      <c r="AL24" s="91"/>
      <c r="AM24" s="91"/>
      <c r="AN24" s="68">
        <f t="shared" si="42"/>
        <v>1222</v>
      </c>
      <c r="AO24" s="68"/>
      <c r="AP24" s="91"/>
      <c r="AQ24" s="91"/>
      <c r="AR24" s="68">
        <f t="shared" si="25"/>
        <v>1222</v>
      </c>
      <c r="AS24" s="68">
        <f t="shared" si="40"/>
        <v>0</v>
      </c>
      <c r="AT24" s="91"/>
      <c r="AU24" s="91"/>
      <c r="AV24" s="68">
        <f t="shared" si="26"/>
        <v>1222</v>
      </c>
      <c r="AW24" s="68"/>
      <c r="AX24" s="91"/>
      <c r="AY24" s="91"/>
      <c r="AZ24" s="152">
        <f>+AV24+AX24-AY24</f>
        <v>1222</v>
      </c>
      <c r="BA24" s="152"/>
      <c r="BB24" s="91"/>
      <c r="BC24" s="91"/>
      <c r="BD24" s="68">
        <f t="shared" si="38"/>
        <v>1222</v>
      </c>
      <c r="BE24" s="68"/>
      <c r="BF24" s="91"/>
      <c r="BG24" s="91"/>
      <c r="BH24" s="68">
        <f t="shared" si="27"/>
        <v>1222</v>
      </c>
      <c r="BI24" s="68"/>
      <c r="BJ24" s="91"/>
      <c r="BK24" s="91"/>
      <c r="BL24" s="68">
        <f t="shared" si="28"/>
        <v>1222</v>
      </c>
      <c r="BM24" s="68"/>
      <c r="BN24" s="91"/>
      <c r="BO24" s="91"/>
      <c r="BP24" s="68">
        <f t="shared" si="29"/>
        <v>1222</v>
      </c>
      <c r="BQ24" s="68"/>
      <c r="BR24" s="91"/>
      <c r="BS24" s="91"/>
      <c r="BT24" s="68">
        <f t="shared" si="30"/>
        <v>1222</v>
      </c>
      <c r="BU24" s="68"/>
      <c r="BV24" s="91"/>
      <c r="BW24" s="91"/>
      <c r="BX24" s="68">
        <f t="shared" si="31"/>
        <v>1222</v>
      </c>
      <c r="BY24" s="68"/>
      <c r="BZ24" s="91"/>
      <c r="CA24" s="91"/>
      <c r="CB24" s="68">
        <f t="shared" si="32"/>
        <v>1222</v>
      </c>
      <c r="CC24" s="68"/>
      <c r="CD24" s="91"/>
      <c r="CE24" s="91"/>
      <c r="CF24" s="68">
        <f t="shared" si="33"/>
        <v>1222</v>
      </c>
      <c r="CG24" s="68"/>
      <c r="CH24" s="91"/>
      <c r="CI24" s="91"/>
      <c r="CJ24" s="68">
        <f t="shared" si="34"/>
        <v>1222</v>
      </c>
      <c r="CK24" s="68"/>
      <c r="CL24" s="91"/>
      <c r="CM24" s="91"/>
      <c r="CN24" s="68">
        <f t="shared" si="35"/>
        <v>1222</v>
      </c>
      <c r="CO24" s="68"/>
      <c r="CP24" s="91"/>
      <c r="CQ24" s="91"/>
      <c r="CR24" s="68">
        <f t="shared" si="36"/>
        <v>1222</v>
      </c>
      <c r="CS24" s="68"/>
      <c r="CT24" s="91"/>
      <c r="CU24" s="91"/>
      <c r="CV24" s="68">
        <f t="shared" si="37"/>
        <v>1222</v>
      </c>
      <c r="CW24" s="68"/>
    </row>
    <row r="25" spans="1:101" x14ac:dyDescent="0.5">
      <c r="A25" s="67">
        <v>19</v>
      </c>
      <c r="B25" s="81" t="s">
        <v>51</v>
      </c>
      <c r="C25" s="67">
        <v>175</v>
      </c>
      <c r="D25" s="68">
        <f>+'กระดาษทำการ 30 เม.ย.58'!BP27</f>
        <v>0</v>
      </c>
      <c r="E25" s="68">
        <f>+'กระดาษทำการ 30 เม.ย.58'!BQ27</f>
        <v>0</v>
      </c>
      <c r="F25" s="91"/>
      <c r="G25" s="91"/>
      <c r="H25" s="68">
        <f t="shared" si="20"/>
        <v>0</v>
      </c>
      <c r="I25" s="68"/>
      <c r="J25" s="91"/>
      <c r="K25" s="91"/>
      <c r="L25" s="68">
        <f t="shared" si="41"/>
        <v>0</v>
      </c>
      <c r="M25" s="68"/>
      <c r="N25" s="91"/>
      <c r="O25" s="91"/>
      <c r="P25" s="68">
        <f t="shared" si="21"/>
        <v>0</v>
      </c>
      <c r="Q25" s="68"/>
      <c r="R25" s="91"/>
      <c r="S25" s="91"/>
      <c r="T25" s="68">
        <f>+P25+R25-S25</f>
        <v>0</v>
      </c>
      <c r="U25" s="68"/>
      <c r="V25" s="91"/>
      <c r="W25" s="91"/>
      <c r="X25" s="68">
        <f>+T25+V25-W25</f>
        <v>0</v>
      </c>
      <c r="Y25" s="68"/>
      <c r="Z25" s="91"/>
      <c r="AA25" s="91"/>
      <c r="AB25" s="68">
        <f t="shared" si="22"/>
        <v>0</v>
      </c>
      <c r="AC25" s="68"/>
      <c r="AD25" s="91"/>
      <c r="AE25" s="91"/>
      <c r="AF25" s="68">
        <f t="shared" si="23"/>
        <v>0</v>
      </c>
      <c r="AG25" s="68"/>
      <c r="AH25" s="91"/>
      <c r="AI25" s="91"/>
      <c r="AJ25" s="68">
        <f t="shared" si="24"/>
        <v>0</v>
      </c>
      <c r="AK25" s="68">
        <f t="shared" si="39"/>
        <v>0</v>
      </c>
      <c r="AL25" s="91"/>
      <c r="AM25" s="91"/>
      <c r="AN25" s="68">
        <f t="shared" si="42"/>
        <v>0</v>
      </c>
      <c r="AO25" s="68"/>
      <c r="AP25" s="91"/>
      <c r="AQ25" s="91"/>
      <c r="AR25" s="68">
        <f t="shared" si="25"/>
        <v>0</v>
      </c>
      <c r="AS25" s="68">
        <f t="shared" si="40"/>
        <v>0</v>
      </c>
      <c r="AT25" s="91"/>
      <c r="AU25" s="91"/>
      <c r="AV25" s="68">
        <f t="shared" si="26"/>
        <v>0</v>
      </c>
      <c r="AW25" s="68"/>
      <c r="AX25" s="91"/>
      <c r="AY25" s="91"/>
      <c r="AZ25" s="152">
        <f>+AV25+AX25-AY25</f>
        <v>0</v>
      </c>
      <c r="BA25" s="152"/>
      <c r="BB25" s="91"/>
      <c r="BC25" s="91"/>
      <c r="BD25" s="68">
        <f t="shared" si="38"/>
        <v>0</v>
      </c>
      <c r="BE25" s="68"/>
      <c r="BF25" s="91"/>
      <c r="BG25" s="91"/>
      <c r="BH25" s="68">
        <f t="shared" si="27"/>
        <v>0</v>
      </c>
      <c r="BI25" s="68"/>
      <c r="BJ25" s="91"/>
      <c r="BK25" s="91"/>
      <c r="BL25" s="68">
        <f t="shared" si="28"/>
        <v>0</v>
      </c>
      <c r="BM25" s="68"/>
      <c r="BN25" s="91"/>
      <c r="BO25" s="91"/>
      <c r="BP25" s="68">
        <f t="shared" si="29"/>
        <v>0</v>
      </c>
      <c r="BQ25" s="68"/>
      <c r="BR25" s="91"/>
      <c r="BS25" s="91"/>
      <c r="BT25" s="68">
        <f t="shared" si="30"/>
        <v>0</v>
      </c>
      <c r="BU25" s="68"/>
      <c r="BV25" s="91"/>
      <c r="BW25" s="91"/>
      <c r="BX25" s="68">
        <f t="shared" si="31"/>
        <v>0</v>
      </c>
      <c r="BY25" s="68"/>
      <c r="BZ25" s="91"/>
      <c r="CA25" s="91"/>
      <c r="CB25" s="68">
        <f t="shared" si="32"/>
        <v>0</v>
      </c>
      <c r="CC25" s="68"/>
      <c r="CD25" s="91"/>
      <c r="CE25" s="91"/>
      <c r="CF25" s="68">
        <f t="shared" si="33"/>
        <v>0</v>
      </c>
      <c r="CG25" s="68"/>
      <c r="CH25" s="91"/>
      <c r="CI25" s="91"/>
      <c r="CJ25" s="68">
        <f t="shared" si="34"/>
        <v>0</v>
      </c>
      <c r="CK25" s="68"/>
      <c r="CL25" s="91"/>
      <c r="CM25" s="91"/>
      <c r="CN25" s="68">
        <f t="shared" si="35"/>
        <v>0</v>
      </c>
      <c r="CO25" s="68"/>
      <c r="CP25" s="91"/>
      <c r="CQ25" s="91"/>
      <c r="CR25" s="68">
        <f t="shared" si="36"/>
        <v>0</v>
      </c>
      <c r="CS25" s="68"/>
      <c r="CT25" s="91"/>
      <c r="CU25" s="91"/>
      <c r="CV25" s="68">
        <f t="shared" si="37"/>
        <v>0</v>
      </c>
      <c r="CW25" s="68"/>
    </row>
    <row r="26" spans="1:101" x14ac:dyDescent="0.5">
      <c r="A26" s="67">
        <v>20</v>
      </c>
      <c r="B26" s="81" t="s">
        <v>52</v>
      </c>
      <c r="C26" s="67">
        <v>71</v>
      </c>
      <c r="D26" s="68">
        <f>+'กระดาษทำการ 30 เม.ย.58'!BP28</f>
        <v>10000</v>
      </c>
      <c r="E26" s="68">
        <f>+'กระดาษทำการ 30 เม.ย.58'!BQ28</f>
        <v>0</v>
      </c>
      <c r="F26" s="91"/>
      <c r="G26" s="91"/>
      <c r="H26" s="68">
        <f t="shared" si="20"/>
        <v>10000</v>
      </c>
      <c r="I26" s="68"/>
      <c r="J26" s="91"/>
      <c r="K26" s="91"/>
      <c r="L26" s="68">
        <f t="shared" si="41"/>
        <v>10000</v>
      </c>
      <c r="M26" s="68"/>
      <c r="N26" s="91"/>
      <c r="O26" s="91"/>
      <c r="P26" s="68">
        <f t="shared" si="21"/>
        <v>10000</v>
      </c>
      <c r="Q26" s="68"/>
      <c r="R26" s="91"/>
      <c r="S26" s="91"/>
      <c r="T26" s="68">
        <f>+P26+R26-S26</f>
        <v>10000</v>
      </c>
      <c r="U26" s="68"/>
      <c r="V26" s="91"/>
      <c r="W26" s="91"/>
      <c r="X26" s="68">
        <f>+T26+V26-W26</f>
        <v>10000</v>
      </c>
      <c r="Y26" s="68"/>
      <c r="Z26" s="91"/>
      <c r="AA26" s="91"/>
      <c r="AB26" s="68">
        <f t="shared" si="22"/>
        <v>10000</v>
      </c>
      <c r="AC26" s="68"/>
      <c r="AD26" s="91"/>
      <c r="AE26" s="91"/>
      <c r="AF26" s="68">
        <f t="shared" si="23"/>
        <v>10000</v>
      </c>
      <c r="AG26" s="68"/>
      <c r="AH26" s="91"/>
      <c r="AI26" s="91"/>
      <c r="AJ26" s="68">
        <f t="shared" si="24"/>
        <v>10000</v>
      </c>
      <c r="AK26" s="68">
        <f t="shared" si="39"/>
        <v>0</v>
      </c>
      <c r="AL26" s="91"/>
      <c r="AM26" s="91"/>
      <c r="AN26" s="68">
        <f t="shared" si="42"/>
        <v>10000</v>
      </c>
      <c r="AO26" s="68"/>
      <c r="AP26" s="91"/>
      <c r="AQ26" s="91"/>
      <c r="AR26" s="68">
        <f t="shared" si="25"/>
        <v>10000</v>
      </c>
      <c r="AS26" s="68">
        <f t="shared" si="40"/>
        <v>0</v>
      </c>
      <c r="AT26" s="91"/>
      <c r="AU26" s="91"/>
      <c r="AV26" s="68">
        <f t="shared" si="26"/>
        <v>10000</v>
      </c>
      <c r="AW26" s="68"/>
      <c r="AX26" s="91"/>
      <c r="AY26" s="91"/>
      <c r="AZ26" s="152">
        <f>+AV26+AX26-AY26</f>
        <v>10000</v>
      </c>
      <c r="BA26" s="152"/>
      <c r="BB26" s="91"/>
      <c r="BC26" s="91"/>
      <c r="BD26" s="68">
        <f t="shared" si="38"/>
        <v>10000</v>
      </c>
      <c r="BE26" s="68"/>
      <c r="BF26" s="91"/>
      <c r="BG26" s="91"/>
      <c r="BH26" s="68">
        <f t="shared" si="27"/>
        <v>10000</v>
      </c>
      <c r="BI26" s="68"/>
      <c r="BJ26" s="91"/>
      <c r="BK26" s="91"/>
      <c r="BL26" s="68">
        <f t="shared" si="28"/>
        <v>10000</v>
      </c>
      <c r="BM26" s="68"/>
      <c r="BN26" s="91"/>
      <c r="BO26" s="91"/>
      <c r="BP26" s="68">
        <f t="shared" si="29"/>
        <v>10000</v>
      </c>
      <c r="BQ26" s="68"/>
      <c r="BR26" s="91"/>
      <c r="BS26" s="91"/>
      <c r="BT26" s="68">
        <f t="shared" si="30"/>
        <v>10000</v>
      </c>
      <c r="BU26" s="68"/>
      <c r="BV26" s="91"/>
      <c r="BW26" s="91"/>
      <c r="BX26" s="68">
        <f t="shared" si="31"/>
        <v>10000</v>
      </c>
      <c r="BY26" s="68"/>
      <c r="BZ26" s="91"/>
      <c r="CA26" s="91"/>
      <c r="CB26" s="68">
        <f t="shared" si="32"/>
        <v>10000</v>
      </c>
      <c r="CC26" s="68"/>
      <c r="CD26" s="91"/>
      <c r="CE26" s="91"/>
      <c r="CF26" s="68">
        <f t="shared" si="33"/>
        <v>10000</v>
      </c>
      <c r="CG26" s="68"/>
      <c r="CH26" s="91"/>
      <c r="CI26" s="91"/>
      <c r="CJ26" s="68">
        <f t="shared" si="34"/>
        <v>10000</v>
      </c>
      <c r="CK26" s="68"/>
      <c r="CL26" s="91"/>
      <c r="CM26" s="91"/>
      <c r="CN26" s="68">
        <f t="shared" si="35"/>
        <v>10000</v>
      </c>
      <c r="CO26" s="68"/>
      <c r="CP26" s="91"/>
      <c r="CQ26" s="91"/>
      <c r="CR26" s="68">
        <f t="shared" si="36"/>
        <v>10000</v>
      </c>
      <c r="CS26" s="68"/>
      <c r="CT26" s="91"/>
      <c r="CU26" s="91"/>
      <c r="CV26" s="68">
        <f t="shared" si="37"/>
        <v>10000</v>
      </c>
      <c r="CW26" s="68"/>
    </row>
    <row r="27" spans="1:101" x14ac:dyDescent="0.5">
      <c r="A27" s="67">
        <v>21</v>
      </c>
      <c r="B27" s="81" t="s">
        <v>21</v>
      </c>
      <c r="C27" s="67">
        <v>75</v>
      </c>
      <c r="D27" s="68">
        <f>+'กระดาษทำการ 30 เม.ย.58'!BP29</f>
        <v>18199.669999999998</v>
      </c>
      <c r="E27" s="68">
        <f>+'กระดาษทำการ 30 เม.ย.58'!BQ29</f>
        <v>0</v>
      </c>
      <c r="F27" s="119">
        <v>3500</v>
      </c>
      <c r="G27" s="119"/>
      <c r="H27" s="68">
        <f t="shared" si="20"/>
        <v>21699.67</v>
      </c>
      <c r="I27" s="68"/>
      <c r="J27" s="91"/>
      <c r="K27" s="91"/>
      <c r="L27" s="68">
        <f t="shared" si="41"/>
        <v>21699.67</v>
      </c>
      <c r="M27" s="68"/>
      <c r="N27" s="91"/>
      <c r="O27" s="91"/>
      <c r="P27" s="68">
        <f t="shared" si="21"/>
        <v>21699.67</v>
      </c>
      <c r="Q27" s="68"/>
      <c r="R27" s="91"/>
      <c r="S27" s="91"/>
      <c r="T27" s="68">
        <f>+P27+R27-S27</f>
        <v>21699.67</v>
      </c>
      <c r="U27" s="68"/>
      <c r="V27" s="91"/>
      <c r="W27" s="91"/>
      <c r="X27" s="68">
        <f>+T27+V27-W27</f>
        <v>21699.67</v>
      </c>
      <c r="Y27" s="68"/>
      <c r="Z27" s="91"/>
      <c r="AA27" s="91"/>
      <c r="AB27" s="68">
        <f t="shared" si="22"/>
        <v>21699.67</v>
      </c>
      <c r="AC27" s="68"/>
      <c r="AD27" s="91"/>
      <c r="AE27" s="91"/>
      <c r="AF27" s="68">
        <f t="shared" si="23"/>
        <v>21699.67</v>
      </c>
      <c r="AG27" s="68"/>
      <c r="AH27" s="91"/>
      <c r="AI27" s="91"/>
      <c r="AJ27" s="68">
        <f t="shared" si="24"/>
        <v>21699.67</v>
      </c>
      <c r="AK27" s="68">
        <f t="shared" si="39"/>
        <v>0</v>
      </c>
      <c r="AL27" s="91"/>
      <c r="AM27" s="91"/>
      <c r="AN27" s="68">
        <f t="shared" si="42"/>
        <v>21699.67</v>
      </c>
      <c r="AO27" s="68"/>
      <c r="AP27" s="91"/>
      <c r="AQ27" s="91"/>
      <c r="AR27" s="68">
        <f t="shared" si="25"/>
        <v>21699.67</v>
      </c>
      <c r="AS27" s="68">
        <f t="shared" si="40"/>
        <v>0</v>
      </c>
      <c r="AT27" s="91"/>
      <c r="AU27" s="91"/>
      <c r="AV27" s="68">
        <f t="shared" si="26"/>
        <v>21699.67</v>
      </c>
      <c r="AW27" s="68"/>
      <c r="AX27" s="91"/>
      <c r="AY27" s="91"/>
      <c r="AZ27" s="152">
        <v>13608.77</v>
      </c>
      <c r="BA27" s="152"/>
      <c r="BB27" s="91">
        <v>4690</v>
      </c>
      <c r="BC27" s="91"/>
      <c r="BD27" s="68">
        <f t="shared" si="38"/>
        <v>18298.77</v>
      </c>
      <c r="BE27" s="68"/>
      <c r="BF27" s="91"/>
      <c r="BG27" s="91"/>
      <c r="BH27" s="68">
        <f t="shared" si="27"/>
        <v>18298.77</v>
      </c>
      <c r="BI27" s="68"/>
      <c r="BJ27" s="91"/>
      <c r="BK27" s="91"/>
      <c r="BL27" s="68">
        <f t="shared" si="28"/>
        <v>18298.77</v>
      </c>
      <c r="BM27" s="68"/>
      <c r="BN27" s="91"/>
      <c r="BO27" s="91"/>
      <c r="BP27" s="68">
        <f t="shared" si="29"/>
        <v>18298.77</v>
      </c>
      <c r="BQ27" s="68"/>
      <c r="BR27" s="91"/>
      <c r="BS27" s="91"/>
      <c r="BT27" s="68">
        <f t="shared" si="30"/>
        <v>18298.77</v>
      </c>
      <c r="BU27" s="68"/>
      <c r="BV27" s="91"/>
      <c r="BW27" s="91"/>
      <c r="BX27" s="68">
        <f t="shared" si="31"/>
        <v>18298.77</v>
      </c>
      <c r="BY27" s="68"/>
      <c r="BZ27" s="91"/>
      <c r="CA27" s="91"/>
      <c r="CB27" s="68">
        <f t="shared" si="32"/>
        <v>18298.77</v>
      </c>
      <c r="CC27" s="68"/>
      <c r="CD27" s="91"/>
      <c r="CE27" s="91"/>
      <c r="CF27" s="68">
        <f t="shared" si="33"/>
        <v>18298.77</v>
      </c>
      <c r="CG27" s="68"/>
      <c r="CH27" s="91"/>
      <c r="CI27" s="91"/>
      <c r="CJ27" s="68">
        <f t="shared" si="34"/>
        <v>18298.77</v>
      </c>
      <c r="CK27" s="68"/>
      <c r="CL27" s="91"/>
      <c r="CM27" s="91"/>
      <c r="CN27" s="68">
        <f t="shared" si="35"/>
        <v>18298.77</v>
      </c>
      <c r="CO27" s="68"/>
      <c r="CP27" s="91"/>
      <c r="CQ27" s="91"/>
      <c r="CR27" s="68">
        <f t="shared" si="36"/>
        <v>18298.77</v>
      </c>
      <c r="CS27" s="68"/>
      <c r="CT27" s="91"/>
      <c r="CU27" s="91"/>
      <c r="CV27" s="68">
        <f t="shared" si="37"/>
        <v>18298.77</v>
      </c>
      <c r="CW27" s="68"/>
    </row>
    <row r="28" spans="1:101" x14ac:dyDescent="0.5">
      <c r="A28" s="67">
        <v>24</v>
      </c>
      <c r="B28" s="82" t="s">
        <v>157</v>
      </c>
      <c r="C28" s="67"/>
      <c r="D28" s="68"/>
      <c r="E28" s="68"/>
      <c r="F28" s="91"/>
      <c r="G28" s="91"/>
      <c r="H28" s="68"/>
      <c r="I28" s="68"/>
      <c r="J28" s="91"/>
      <c r="K28" s="91"/>
      <c r="L28" s="68"/>
      <c r="M28" s="68"/>
      <c r="N28" s="91"/>
      <c r="O28" s="91"/>
      <c r="P28" s="68"/>
      <c r="Q28" s="68"/>
      <c r="R28" s="91"/>
      <c r="S28" s="91"/>
      <c r="T28" s="68"/>
      <c r="U28" s="68"/>
      <c r="V28" s="91"/>
      <c r="W28" s="91"/>
      <c r="X28" s="68"/>
      <c r="Y28" s="68"/>
      <c r="Z28" s="91"/>
      <c r="AA28" s="91"/>
      <c r="AB28" s="68"/>
      <c r="AC28" s="68"/>
      <c r="AD28" s="91"/>
      <c r="AE28" s="91"/>
      <c r="AF28" s="68">
        <f t="shared" si="23"/>
        <v>0</v>
      </c>
      <c r="AG28" s="68"/>
      <c r="AH28" s="91"/>
      <c r="AI28" s="91"/>
      <c r="AJ28" s="68">
        <f t="shared" si="24"/>
        <v>0</v>
      </c>
      <c r="AK28" s="68"/>
      <c r="AL28" s="91"/>
      <c r="AM28" s="91"/>
      <c r="AN28" s="68">
        <f t="shared" si="42"/>
        <v>0</v>
      </c>
      <c r="AO28" s="68"/>
      <c r="AP28" s="91">
        <v>22640</v>
      </c>
      <c r="AQ28" s="91"/>
      <c r="AR28" s="68">
        <f t="shared" si="25"/>
        <v>22640</v>
      </c>
      <c r="AS28" s="68">
        <v>0</v>
      </c>
      <c r="AT28" s="91"/>
      <c r="AU28" s="91"/>
      <c r="AV28" s="68">
        <f t="shared" si="26"/>
        <v>22640</v>
      </c>
      <c r="AW28" s="68"/>
      <c r="AX28" s="91"/>
      <c r="AY28" s="91"/>
      <c r="AZ28" s="152">
        <v>0</v>
      </c>
      <c r="BA28" s="152"/>
      <c r="BB28" s="91"/>
      <c r="BC28" s="91"/>
      <c r="BD28" s="68">
        <f t="shared" si="38"/>
        <v>0</v>
      </c>
      <c r="BE28" s="68"/>
      <c r="BF28" s="91"/>
      <c r="BG28" s="91"/>
      <c r="BH28" s="68">
        <f t="shared" si="27"/>
        <v>0</v>
      </c>
      <c r="BI28" s="68"/>
      <c r="BJ28" s="91"/>
      <c r="BK28" s="91"/>
      <c r="BL28" s="68">
        <f t="shared" si="28"/>
        <v>0</v>
      </c>
      <c r="BM28" s="68"/>
      <c r="BN28" s="91"/>
      <c r="BO28" s="91"/>
      <c r="BP28" s="68">
        <f t="shared" si="29"/>
        <v>0</v>
      </c>
      <c r="BQ28" s="68"/>
      <c r="BR28" s="91"/>
      <c r="BS28" s="91"/>
      <c r="BT28" s="68">
        <f t="shared" si="30"/>
        <v>0</v>
      </c>
      <c r="BU28" s="68"/>
      <c r="BV28" s="91"/>
      <c r="BW28" s="91"/>
      <c r="BX28" s="68">
        <f t="shared" si="31"/>
        <v>0</v>
      </c>
      <c r="BY28" s="68"/>
      <c r="BZ28" s="91"/>
      <c r="CA28" s="91"/>
      <c r="CB28" s="68">
        <f t="shared" si="32"/>
        <v>0</v>
      </c>
      <c r="CC28" s="68"/>
      <c r="CD28" s="91"/>
      <c r="CE28" s="91"/>
      <c r="CF28" s="68">
        <f t="shared" si="33"/>
        <v>0</v>
      </c>
      <c r="CG28" s="68"/>
      <c r="CH28" s="91"/>
      <c r="CI28" s="91"/>
      <c r="CJ28" s="68">
        <f t="shared" si="34"/>
        <v>0</v>
      </c>
      <c r="CK28" s="68"/>
      <c r="CL28" s="91"/>
      <c r="CM28" s="91"/>
      <c r="CN28" s="68">
        <f t="shared" si="35"/>
        <v>0</v>
      </c>
      <c r="CO28" s="68"/>
      <c r="CP28" s="91"/>
      <c r="CQ28" s="91"/>
      <c r="CR28" s="68">
        <f t="shared" si="36"/>
        <v>0</v>
      </c>
      <c r="CS28" s="68"/>
      <c r="CT28" s="91"/>
      <c r="CU28" s="91"/>
      <c r="CV28" s="68">
        <f t="shared" si="37"/>
        <v>0</v>
      </c>
      <c r="CW28" s="68"/>
    </row>
    <row r="29" spans="1:101" ht="24" x14ac:dyDescent="0.55000000000000004">
      <c r="A29" s="67">
        <v>25</v>
      </c>
      <c r="B29" s="81" t="s">
        <v>20</v>
      </c>
      <c r="C29" s="67">
        <v>81</v>
      </c>
      <c r="D29" s="68">
        <f>+'กระดาษทำการ 30 เม.ย.58'!BP32</f>
        <v>5012808.46</v>
      </c>
      <c r="E29" s="68">
        <f>+'กระดาษทำการ 30 เม.ย.58'!BQ32</f>
        <v>0</v>
      </c>
      <c r="F29" s="119">
        <v>10000</v>
      </c>
      <c r="G29" s="119"/>
      <c r="H29" s="68">
        <f t="shared" ref="H29:H34" si="43">+D29+F29-G29</f>
        <v>5022808.46</v>
      </c>
      <c r="I29" s="68"/>
      <c r="J29" s="119"/>
      <c r="K29" s="119">
        <v>20000</v>
      </c>
      <c r="L29" s="68">
        <f>+H29+J29-K29</f>
        <v>5002808.46</v>
      </c>
      <c r="M29" s="68"/>
      <c r="N29" s="119">
        <v>322000</v>
      </c>
      <c r="O29" s="119">
        <v>280000</v>
      </c>
      <c r="P29" s="68">
        <f>+L29+N29-O29</f>
        <v>5044808.46</v>
      </c>
      <c r="Q29" s="68"/>
      <c r="R29" s="91"/>
      <c r="S29" s="91"/>
      <c r="T29" s="68">
        <f>+P29+R29-S29</f>
        <v>5044808.46</v>
      </c>
      <c r="U29" s="68"/>
      <c r="V29" s="91"/>
      <c r="W29" s="91"/>
      <c r="X29" s="68">
        <f t="shared" ref="X29:X34" si="44">+T29+V29-W29</f>
        <v>5044808.46</v>
      </c>
      <c r="Y29" s="68"/>
      <c r="Z29" s="92">
        <v>80000</v>
      </c>
      <c r="AA29" s="92">
        <v>90000</v>
      </c>
      <c r="AB29" s="68">
        <f t="shared" ref="AB29:AB34" si="45">+X29+Z29-AA29</f>
        <v>5034808.46</v>
      </c>
      <c r="AC29" s="68"/>
      <c r="AD29" s="91">
        <f>10000+20000</f>
        <v>30000</v>
      </c>
      <c r="AE29" s="91">
        <f>10000+10000+14476.34</f>
        <v>34476.339999999997</v>
      </c>
      <c r="AF29" s="68">
        <f t="shared" si="23"/>
        <v>5030332.12</v>
      </c>
      <c r="AG29" s="68"/>
      <c r="AH29" s="91"/>
      <c r="AI29" s="91"/>
      <c r="AJ29" s="68">
        <f t="shared" si="24"/>
        <v>5030332.12</v>
      </c>
      <c r="AK29" s="68">
        <f t="shared" ref="AK29:AK44" si="46">+AG29+AI29-AH29</f>
        <v>0</v>
      </c>
      <c r="AL29" s="91">
        <f>265000+322000</f>
        <v>587000</v>
      </c>
      <c r="AM29" s="91">
        <f>37000+83000+90000+322000</f>
        <v>532000</v>
      </c>
      <c r="AN29" s="68">
        <f>+AJ29+AL29-AM29</f>
        <v>5085332.12</v>
      </c>
      <c r="AO29" s="68"/>
      <c r="AP29" s="91">
        <v>530000</v>
      </c>
      <c r="AQ29" s="91">
        <v>496000</v>
      </c>
      <c r="AR29" s="68">
        <f t="shared" si="25"/>
        <v>5119332.12</v>
      </c>
      <c r="AS29" s="68">
        <v>0</v>
      </c>
      <c r="AT29" s="92">
        <f>316000+427000</f>
        <v>743000</v>
      </c>
      <c r="AU29" s="92">
        <f>402000+296000</f>
        <v>698000</v>
      </c>
      <c r="AV29" s="68">
        <f t="shared" si="26"/>
        <v>5164332.12</v>
      </c>
      <c r="AW29" s="68"/>
      <c r="AX29" s="91">
        <f>658700+80000+169000</f>
        <v>907700</v>
      </c>
      <c r="AY29" s="91">
        <f>90000+588698+80000+140000</f>
        <v>898698</v>
      </c>
      <c r="AZ29" s="152">
        <f>+AV29+AX29-AY29</f>
        <v>5173334.12</v>
      </c>
      <c r="BA29" s="152"/>
      <c r="BB29" s="91"/>
      <c r="BC29" s="91">
        <v>15407.69</v>
      </c>
      <c r="BD29" s="68">
        <f t="shared" si="38"/>
        <v>5157926.43</v>
      </c>
      <c r="BE29" s="68"/>
      <c r="BF29" s="91"/>
      <c r="BG29" s="91"/>
      <c r="BH29" s="68">
        <f t="shared" si="27"/>
        <v>5157926.43</v>
      </c>
      <c r="BI29" s="68"/>
      <c r="BJ29" s="91"/>
      <c r="BK29" s="91"/>
      <c r="BL29" s="68">
        <f t="shared" si="28"/>
        <v>5157926.43</v>
      </c>
      <c r="BM29" s="68"/>
      <c r="BN29" s="91">
        <v>299000</v>
      </c>
      <c r="BO29" s="91">
        <v>299000</v>
      </c>
      <c r="BP29" s="68">
        <f t="shared" si="29"/>
        <v>5157926.43</v>
      </c>
      <c r="BQ29" s="68"/>
      <c r="BR29" s="91">
        <v>23000</v>
      </c>
      <c r="BS29" s="91">
        <v>23000</v>
      </c>
      <c r="BT29" s="68">
        <f t="shared" si="30"/>
        <v>5157926.43</v>
      </c>
      <c r="BU29" s="68"/>
      <c r="BV29" s="91">
        <v>23000</v>
      </c>
      <c r="BW29" s="91">
        <v>15000</v>
      </c>
      <c r="BX29" s="68">
        <f t="shared" si="31"/>
        <v>5165926.43</v>
      </c>
      <c r="BY29" s="68"/>
      <c r="BZ29" s="91">
        <v>90000</v>
      </c>
      <c r="CA29" s="91">
        <v>80000</v>
      </c>
      <c r="CB29" s="68">
        <f t="shared" si="32"/>
        <v>5175926.43</v>
      </c>
      <c r="CC29" s="68"/>
      <c r="CD29" s="91"/>
      <c r="CE29" s="91">
        <v>93127</v>
      </c>
      <c r="CF29" s="68">
        <f t="shared" si="33"/>
        <v>5082799.43</v>
      </c>
      <c r="CG29" s="68"/>
      <c r="CH29" s="91">
        <v>318000</v>
      </c>
      <c r="CI29" s="91">
        <v>181200</v>
      </c>
      <c r="CJ29" s="68">
        <f t="shared" si="34"/>
        <v>5219599.43</v>
      </c>
      <c r="CK29" s="68"/>
      <c r="CL29" s="91">
        <v>788000</v>
      </c>
      <c r="CM29" s="91">
        <v>733849</v>
      </c>
      <c r="CN29" s="68">
        <f t="shared" si="35"/>
        <v>5273750.43</v>
      </c>
      <c r="CO29" s="68"/>
      <c r="CP29" s="91">
        <v>730000</v>
      </c>
      <c r="CQ29" s="91">
        <v>734000</v>
      </c>
      <c r="CR29" s="68">
        <f t="shared" si="36"/>
        <v>5269750.43</v>
      </c>
      <c r="CS29" s="68"/>
      <c r="CT29" s="91">
        <v>997000</v>
      </c>
      <c r="CU29" s="91">
        <v>986700</v>
      </c>
      <c r="CV29" s="68">
        <f t="shared" si="37"/>
        <v>5280050.43</v>
      </c>
      <c r="CW29" s="68"/>
    </row>
    <row r="30" spans="1:101" x14ac:dyDescent="0.5">
      <c r="A30" s="67">
        <v>26</v>
      </c>
      <c r="B30" s="81" t="s">
        <v>136</v>
      </c>
      <c r="C30" s="67">
        <v>101</v>
      </c>
      <c r="D30" s="68">
        <f>+'กระดาษทำการ 30 เม.ย.58'!BP33</f>
        <v>205000</v>
      </c>
      <c r="E30" s="68">
        <f>+'กระดาษทำการ 30 เม.ย.58'!BQ33</f>
        <v>0</v>
      </c>
      <c r="F30" s="91"/>
      <c r="G30" s="91"/>
      <c r="H30" s="68">
        <f t="shared" si="43"/>
        <v>205000</v>
      </c>
      <c r="I30" s="68"/>
      <c r="J30" s="91"/>
      <c r="K30" s="91"/>
      <c r="L30" s="68">
        <f>+H30+J30-K30</f>
        <v>205000</v>
      </c>
      <c r="M30" s="68"/>
      <c r="N30" s="91"/>
      <c r="O30" s="91"/>
      <c r="P30" s="68">
        <f>+L30+N30-O30</f>
        <v>205000</v>
      </c>
      <c r="Q30" s="68"/>
      <c r="R30" s="91"/>
      <c r="S30" s="91"/>
      <c r="T30" s="68">
        <f>+P30+R30-S30</f>
        <v>205000</v>
      </c>
      <c r="U30" s="68"/>
      <c r="V30" s="91"/>
      <c r="W30" s="91"/>
      <c r="X30" s="68">
        <f t="shared" si="44"/>
        <v>205000</v>
      </c>
      <c r="Y30" s="68"/>
      <c r="Z30" s="91"/>
      <c r="AA30" s="91"/>
      <c r="AB30" s="68">
        <f t="shared" si="45"/>
        <v>205000</v>
      </c>
      <c r="AC30" s="68"/>
      <c r="AD30" s="91"/>
      <c r="AE30" s="91"/>
      <c r="AF30" s="68">
        <f t="shared" si="23"/>
        <v>205000</v>
      </c>
      <c r="AG30" s="68"/>
      <c r="AH30" s="91"/>
      <c r="AI30" s="91"/>
      <c r="AJ30" s="68">
        <f t="shared" si="24"/>
        <v>205000</v>
      </c>
      <c r="AK30" s="68">
        <f t="shared" si="46"/>
        <v>0</v>
      </c>
      <c r="AL30" s="91"/>
      <c r="AM30" s="91"/>
      <c r="AN30" s="68">
        <f>+AJ30+AL30-AM30</f>
        <v>205000</v>
      </c>
      <c r="AO30" s="68"/>
      <c r="AP30" s="91"/>
      <c r="AQ30" s="91"/>
      <c r="AR30" s="68">
        <f t="shared" si="25"/>
        <v>205000</v>
      </c>
      <c r="AS30" s="68">
        <f>+AO30+AQ30-AP30</f>
        <v>0</v>
      </c>
      <c r="AT30" s="91"/>
      <c r="AU30" s="91"/>
      <c r="AV30" s="68">
        <f t="shared" si="26"/>
        <v>205000</v>
      </c>
      <c r="AW30" s="68"/>
      <c r="AX30" s="91"/>
      <c r="AY30" s="91"/>
      <c r="AZ30" s="152">
        <f>+AV30+AX30-AY30</f>
        <v>205000</v>
      </c>
      <c r="BA30" s="152"/>
      <c r="BB30" s="91"/>
      <c r="BC30" s="91"/>
      <c r="BD30" s="68">
        <f t="shared" si="38"/>
        <v>205000</v>
      </c>
      <c r="BE30" s="68"/>
      <c r="BF30" s="91"/>
      <c r="BG30" s="91"/>
      <c r="BH30" s="68">
        <f t="shared" si="27"/>
        <v>205000</v>
      </c>
      <c r="BI30" s="68"/>
      <c r="BJ30" s="91"/>
      <c r="BK30" s="91"/>
      <c r="BL30" s="68">
        <f t="shared" si="28"/>
        <v>205000</v>
      </c>
      <c r="BM30" s="68"/>
      <c r="BN30" s="91"/>
      <c r="BO30" s="91"/>
      <c r="BP30" s="68">
        <f t="shared" si="29"/>
        <v>205000</v>
      </c>
      <c r="BQ30" s="68"/>
      <c r="BR30" s="91"/>
      <c r="BS30" s="91"/>
      <c r="BT30" s="68">
        <f t="shared" si="30"/>
        <v>205000</v>
      </c>
      <c r="BU30" s="68"/>
      <c r="BV30" s="91"/>
      <c r="BW30" s="91"/>
      <c r="BX30" s="68">
        <f t="shared" si="31"/>
        <v>205000</v>
      </c>
      <c r="BY30" s="68"/>
      <c r="BZ30" s="91"/>
      <c r="CA30" s="91"/>
      <c r="CB30" s="68">
        <f t="shared" si="32"/>
        <v>205000</v>
      </c>
      <c r="CC30" s="68"/>
      <c r="CD30" s="91"/>
      <c r="CE30" s="91"/>
      <c r="CF30" s="68">
        <f t="shared" si="33"/>
        <v>205000</v>
      </c>
      <c r="CG30" s="68"/>
      <c r="CH30" s="91"/>
      <c r="CI30" s="91"/>
      <c r="CJ30" s="68">
        <f t="shared" si="34"/>
        <v>205000</v>
      </c>
      <c r="CK30" s="68"/>
      <c r="CL30" s="91"/>
      <c r="CM30" s="91"/>
      <c r="CN30" s="68">
        <f t="shared" si="35"/>
        <v>205000</v>
      </c>
      <c r="CO30" s="68"/>
      <c r="CP30" s="91"/>
      <c r="CQ30" s="91"/>
      <c r="CR30" s="68">
        <f t="shared" si="36"/>
        <v>205000</v>
      </c>
      <c r="CS30" s="68"/>
      <c r="CT30" s="91"/>
      <c r="CU30" s="91"/>
      <c r="CV30" s="68">
        <f t="shared" si="37"/>
        <v>205000</v>
      </c>
      <c r="CW30" s="68"/>
    </row>
    <row r="31" spans="1:101" x14ac:dyDescent="0.5">
      <c r="A31" s="67">
        <v>27</v>
      </c>
      <c r="B31" s="81" t="s">
        <v>54</v>
      </c>
      <c r="C31" s="67">
        <v>99</v>
      </c>
      <c r="D31" s="68">
        <f>+'กระดาษทำการ 30 เม.ย.58'!BP34</f>
        <v>0</v>
      </c>
      <c r="E31" s="68">
        <f>+'กระดาษทำการ 30 เม.ย.58'!BQ34</f>
        <v>755271.32000000007</v>
      </c>
      <c r="F31" s="91"/>
      <c r="G31" s="91"/>
      <c r="H31" s="68">
        <f t="shared" si="43"/>
        <v>0</v>
      </c>
      <c r="I31" s="68">
        <f>+E31</f>
        <v>755271.32000000007</v>
      </c>
      <c r="J31" s="91"/>
      <c r="K31" s="91"/>
      <c r="L31" s="68"/>
      <c r="M31" s="68">
        <f>+I31</f>
        <v>755271.32000000007</v>
      </c>
      <c r="N31" s="91"/>
      <c r="O31" s="91"/>
      <c r="P31" s="68"/>
      <c r="Q31" s="68">
        <f>+M31</f>
        <v>755271.32000000007</v>
      </c>
      <c r="R31" s="91"/>
      <c r="S31" s="91"/>
      <c r="T31" s="68"/>
      <c r="U31" s="68">
        <f>+Q31</f>
        <v>755271.32000000007</v>
      </c>
      <c r="V31" s="91"/>
      <c r="W31" s="91"/>
      <c r="X31" s="68">
        <f t="shared" si="44"/>
        <v>0</v>
      </c>
      <c r="Y31" s="68">
        <f t="shared" ref="Y31:Y44" si="47">+U31+W31-V31</f>
        <v>755271.32000000007</v>
      </c>
      <c r="Z31" s="91"/>
      <c r="AA31" s="91"/>
      <c r="AB31" s="68">
        <f t="shared" si="45"/>
        <v>0</v>
      </c>
      <c r="AC31" s="68">
        <f>+Y31</f>
        <v>755271.32000000007</v>
      </c>
      <c r="AD31" s="91"/>
      <c r="AE31" s="91"/>
      <c r="AF31" s="68">
        <f t="shared" si="23"/>
        <v>0</v>
      </c>
      <c r="AG31" s="68">
        <f>+AC31</f>
        <v>755271.32000000007</v>
      </c>
      <c r="AH31" s="91"/>
      <c r="AI31" s="91"/>
      <c r="AJ31" s="68">
        <f t="shared" si="24"/>
        <v>0</v>
      </c>
      <c r="AK31" s="68">
        <f t="shared" si="46"/>
        <v>755271.32000000007</v>
      </c>
      <c r="AL31" s="91"/>
      <c r="AM31" s="91"/>
      <c r="AN31" s="68"/>
      <c r="AO31" s="68">
        <f>+AK31</f>
        <v>755271.32000000007</v>
      </c>
      <c r="AP31" s="91"/>
      <c r="AQ31" s="91"/>
      <c r="AR31" s="68">
        <f t="shared" si="25"/>
        <v>0</v>
      </c>
      <c r="AS31" s="68">
        <f>+AO31+AQ31-AP31</f>
        <v>755271.32000000007</v>
      </c>
      <c r="AT31" s="91"/>
      <c r="AU31" s="91"/>
      <c r="AV31" s="68">
        <f t="shared" si="26"/>
        <v>0</v>
      </c>
      <c r="AW31" s="68">
        <f>+AS31</f>
        <v>755271.32000000007</v>
      </c>
      <c r="AX31" s="91"/>
      <c r="AY31" s="91"/>
      <c r="AZ31" s="152">
        <f>+AV31+AX31-AY31</f>
        <v>0</v>
      </c>
      <c r="BA31" s="152">
        <v>737212.61</v>
      </c>
      <c r="BB31" s="91"/>
      <c r="BC31" s="91"/>
      <c r="BD31" s="68">
        <f t="shared" si="38"/>
        <v>0</v>
      </c>
      <c r="BE31" s="68">
        <f>+BA31</f>
        <v>737212.61</v>
      </c>
      <c r="BF31" s="91"/>
      <c r="BG31" s="91"/>
      <c r="BH31" s="68">
        <f t="shared" si="27"/>
        <v>0</v>
      </c>
      <c r="BI31" s="68">
        <f>+BE31</f>
        <v>737212.61</v>
      </c>
      <c r="BJ31" s="91"/>
      <c r="BK31" s="91"/>
      <c r="BL31" s="68">
        <f t="shared" si="28"/>
        <v>0</v>
      </c>
      <c r="BM31" s="68">
        <f>+BI31</f>
        <v>737212.61</v>
      </c>
      <c r="BN31" s="91"/>
      <c r="BO31" s="91"/>
      <c r="BP31" s="68">
        <f t="shared" si="29"/>
        <v>0</v>
      </c>
      <c r="BQ31" s="68">
        <f>+BM31</f>
        <v>737212.61</v>
      </c>
      <c r="BR31" s="91"/>
      <c r="BS31" s="91"/>
      <c r="BT31" s="68">
        <f t="shared" si="30"/>
        <v>0</v>
      </c>
      <c r="BU31" s="68">
        <f>+BQ31</f>
        <v>737212.61</v>
      </c>
      <c r="BV31" s="91"/>
      <c r="BW31" s="91"/>
      <c r="BX31" s="68">
        <f t="shared" si="31"/>
        <v>0</v>
      </c>
      <c r="BY31" s="68">
        <f>+BU31</f>
        <v>737212.61</v>
      </c>
      <c r="BZ31" s="91"/>
      <c r="CA31" s="91"/>
      <c r="CB31" s="68">
        <f t="shared" si="32"/>
        <v>0</v>
      </c>
      <c r="CC31" s="68">
        <f>+BY31</f>
        <v>737212.61</v>
      </c>
      <c r="CD31" s="91"/>
      <c r="CE31" s="91"/>
      <c r="CF31" s="68">
        <f t="shared" si="33"/>
        <v>0</v>
      </c>
      <c r="CG31" s="68">
        <f>+CC31</f>
        <v>737212.61</v>
      </c>
      <c r="CH31" s="91"/>
      <c r="CI31" s="91"/>
      <c r="CJ31" s="68">
        <f t="shared" si="34"/>
        <v>0</v>
      </c>
      <c r="CK31" s="68">
        <f>+CG31</f>
        <v>737212.61</v>
      </c>
      <c r="CL31" s="91"/>
      <c r="CM31" s="91"/>
      <c r="CN31" s="68">
        <f t="shared" si="35"/>
        <v>0</v>
      </c>
      <c r="CO31" s="68">
        <f>+CK31</f>
        <v>737212.61</v>
      </c>
      <c r="CP31" s="91"/>
      <c r="CQ31" s="91"/>
      <c r="CR31" s="68">
        <f t="shared" si="36"/>
        <v>0</v>
      </c>
      <c r="CS31" s="68">
        <f>+CO31</f>
        <v>737212.61</v>
      </c>
      <c r="CT31" s="91"/>
      <c r="CU31" s="91"/>
      <c r="CV31" s="68">
        <f t="shared" si="37"/>
        <v>0</v>
      </c>
      <c r="CW31" s="68">
        <f>+CS31</f>
        <v>737212.61</v>
      </c>
    </row>
    <row r="32" spans="1:101" ht="24" x14ac:dyDescent="0.55000000000000004">
      <c r="A32" s="67">
        <v>28</v>
      </c>
      <c r="B32" s="81" t="s">
        <v>2</v>
      </c>
      <c r="C32" s="67">
        <v>105</v>
      </c>
      <c r="D32" s="68">
        <f>+'กระดาษทำการ 30 เม.ย.58'!BP35</f>
        <v>809609.7</v>
      </c>
      <c r="E32" s="68">
        <f>+'กระดาษทำการ 30 เม.ย.58'!BQ35</f>
        <v>0</v>
      </c>
      <c r="F32" s="91"/>
      <c r="G32" s="91"/>
      <c r="H32" s="68">
        <f t="shared" si="43"/>
        <v>809609.7</v>
      </c>
      <c r="I32" s="68"/>
      <c r="J32" s="119"/>
      <c r="K32" s="119">
        <v>1557</v>
      </c>
      <c r="L32" s="68">
        <f>+H32+J32-K32</f>
        <v>808052.7</v>
      </c>
      <c r="M32" s="68"/>
      <c r="N32" s="91"/>
      <c r="O32" s="91"/>
      <c r="P32" s="68">
        <f>+L32</f>
        <v>808052.7</v>
      </c>
      <c r="Q32" s="68"/>
      <c r="R32" s="91"/>
      <c r="S32" s="91"/>
      <c r="T32" s="68">
        <f>+P32</f>
        <v>808052.7</v>
      </c>
      <c r="U32" s="68"/>
      <c r="V32" s="91"/>
      <c r="W32" s="91"/>
      <c r="X32" s="68">
        <f t="shared" si="44"/>
        <v>808052.7</v>
      </c>
      <c r="Y32" s="68">
        <f t="shared" si="47"/>
        <v>0</v>
      </c>
      <c r="Z32" s="92"/>
      <c r="AA32" s="92">
        <v>34.56</v>
      </c>
      <c r="AB32" s="68">
        <f t="shared" si="45"/>
        <v>808018.1399999999</v>
      </c>
      <c r="AC32" s="68"/>
      <c r="AD32" s="91"/>
      <c r="AE32" s="91">
        <f>3.84+3.84+324.43</f>
        <v>332.11</v>
      </c>
      <c r="AF32" s="68">
        <f t="shared" si="23"/>
        <v>807686.02999999991</v>
      </c>
      <c r="AG32" s="68"/>
      <c r="AH32" s="91"/>
      <c r="AI32" s="91"/>
      <c r="AJ32" s="68">
        <f t="shared" si="24"/>
        <v>807686.02999999991</v>
      </c>
      <c r="AK32" s="68">
        <f t="shared" si="46"/>
        <v>0</v>
      </c>
      <c r="AL32" s="91"/>
      <c r="AM32" s="91">
        <f>475.23+1225.67+411.37+32.22</f>
        <v>2144.4899999999998</v>
      </c>
      <c r="AN32" s="68">
        <f>+AJ32+AL32-AM32</f>
        <v>805541.53999999992</v>
      </c>
      <c r="AO32" s="68"/>
      <c r="AP32" s="91"/>
      <c r="AQ32" s="91">
        <v>3760.94</v>
      </c>
      <c r="AR32" s="68">
        <f t="shared" si="25"/>
        <v>801780.6</v>
      </c>
      <c r="AS32" s="68">
        <v>0</v>
      </c>
      <c r="AT32" s="92"/>
      <c r="AU32" s="92">
        <f>3614.1+5683.06</f>
        <v>9297.16</v>
      </c>
      <c r="AV32" s="68">
        <f t="shared" si="26"/>
        <v>792483.44</v>
      </c>
      <c r="AW32" s="68"/>
      <c r="AX32" s="91"/>
      <c r="AY32" s="91">
        <f>1551.07+29682.4+37.4+9410.6+797.8</f>
        <v>41479.270000000004</v>
      </c>
      <c r="AZ32" s="152">
        <v>925191.42</v>
      </c>
      <c r="BA32" s="152"/>
      <c r="BB32" s="91"/>
      <c r="BC32" s="91">
        <v>1505.95</v>
      </c>
      <c r="BD32" s="68">
        <f t="shared" si="38"/>
        <v>923685.47000000009</v>
      </c>
      <c r="BE32" s="68"/>
      <c r="BF32" s="91"/>
      <c r="BG32" s="91"/>
      <c r="BH32" s="68">
        <f t="shared" si="27"/>
        <v>923685.47000000009</v>
      </c>
      <c r="BI32" s="68"/>
      <c r="BJ32" s="91"/>
      <c r="BK32" s="91"/>
      <c r="BL32" s="68">
        <f t="shared" si="28"/>
        <v>923685.47000000009</v>
      </c>
      <c r="BM32" s="68"/>
      <c r="BN32" s="91"/>
      <c r="BO32" s="91">
        <v>3891.16</v>
      </c>
      <c r="BP32" s="68">
        <f t="shared" si="29"/>
        <v>919794.31</v>
      </c>
      <c r="BQ32" s="68"/>
      <c r="BR32" s="91"/>
      <c r="BS32" s="91">
        <v>299.32</v>
      </c>
      <c r="BT32" s="68">
        <f t="shared" si="30"/>
        <v>919494.99000000011</v>
      </c>
      <c r="BU32" s="68"/>
      <c r="BV32" s="91"/>
      <c r="BW32" s="91"/>
      <c r="BX32" s="68">
        <f t="shared" si="31"/>
        <v>919494.99000000011</v>
      </c>
      <c r="BY32" s="68"/>
      <c r="BZ32" s="91"/>
      <c r="CA32" s="91">
        <v>87.68</v>
      </c>
      <c r="CB32" s="68">
        <f t="shared" si="32"/>
        <v>919407.31</v>
      </c>
      <c r="CC32" s="68"/>
      <c r="CD32" s="91"/>
      <c r="CE32" s="91">
        <v>95.89</v>
      </c>
      <c r="CF32" s="68">
        <f t="shared" si="33"/>
        <v>919311.42</v>
      </c>
      <c r="CG32" s="68"/>
      <c r="CH32" s="91"/>
      <c r="CI32" s="91">
        <v>1706.85</v>
      </c>
      <c r="CJ32" s="68">
        <f t="shared" si="34"/>
        <v>917604.57000000007</v>
      </c>
      <c r="CK32" s="68"/>
      <c r="CL32" s="91"/>
      <c r="CM32" s="91">
        <v>5253.48</v>
      </c>
      <c r="CN32" s="68">
        <f t="shared" si="35"/>
        <v>912351.09000000008</v>
      </c>
      <c r="CO32" s="68"/>
      <c r="CP32" s="91"/>
      <c r="CQ32" s="91">
        <v>7196.5</v>
      </c>
      <c r="CR32" s="68">
        <f t="shared" si="36"/>
        <v>905154.59000000008</v>
      </c>
      <c r="CS32" s="68"/>
      <c r="CT32" s="91"/>
      <c r="CU32" s="91">
        <v>1726.26</v>
      </c>
      <c r="CV32" s="68">
        <f t="shared" si="37"/>
        <v>903428.33000000007</v>
      </c>
      <c r="CW32" s="68"/>
    </row>
    <row r="33" spans="1:101" x14ac:dyDescent="0.5">
      <c r="A33" s="67">
        <v>29</v>
      </c>
      <c r="B33" s="81" t="s">
        <v>55</v>
      </c>
      <c r="C33" s="67">
        <v>113</v>
      </c>
      <c r="D33" s="68">
        <f>+'กระดาษทำการ 30 เม.ย.58'!BP36</f>
        <v>0</v>
      </c>
      <c r="E33" s="68">
        <f>+'กระดาษทำการ 30 เม.ย.58'!BQ36</f>
        <v>577440</v>
      </c>
      <c r="F33" s="91"/>
      <c r="G33" s="91"/>
      <c r="H33" s="68">
        <f t="shared" si="43"/>
        <v>0</v>
      </c>
      <c r="I33" s="68">
        <f>+E33</f>
        <v>577440</v>
      </c>
      <c r="J33" s="91"/>
      <c r="K33" s="91"/>
      <c r="L33" s="68"/>
      <c r="M33" s="68">
        <f>+I33</f>
        <v>577440</v>
      </c>
      <c r="N33" s="91"/>
      <c r="O33" s="91"/>
      <c r="P33" s="68"/>
      <c r="Q33" s="68">
        <f>+M33</f>
        <v>577440</v>
      </c>
      <c r="R33" s="91"/>
      <c r="S33" s="91"/>
      <c r="T33" s="68"/>
      <c r="U33" s="68">
        <f>+Q33</f>
        <v>577440</v>
      </c>
      <c r="V33" s="91"/>
      <c r="W33" s="91"/>
      <c r="X33" s="68">
        <f t="shared" si="44"/>
        <v>0</v>
      </c>
      <c r="Y33" s="68">
        <f t="shared" si="47"/>
        <v>577440</v>
      </c>
      <c r="Z33" s="91"/>
      <c r="AA33" s="91"/>
      <c r="AB33" s="68">
        <f t="shared" si="45"/>
        <v>0</v>
      </c>
      <c r="AC33" s="68">
        <f>+Y33</f>
        <v>577440</v>
      </c>
      <c r="AD33" s="91"/>
      <c r="AE33" s="91"/>
      <c r="AF33" s="68">
        <f t="shared" si="23"/>
        <v>0</v>
      </c>
      <c r="AG33" s="68">
        <f>+AC33</f>
        <v>577440</v>
      </c>
      <c r="AH33" s="91"/>
      <c r="AI33" s="91"/>
      <c r="AJ33" s="68">
        <f t="shared" si="24"/>
        <v>0</v>
      </c>
      <c r="AK33" s="68">
        <f t="shared" si="46"/>
        <v>577440</v>
      </c>
      <c r="AL33" s="91"/>
      <c r="AM33" s="91"/>
      <c r="AN33" s="68"/>
      <c r="AO33" s="68">
        <f>+AK33</f>
        <v>577440</v>
      </c>
      <c r="AP33" s="91"/>
      <c r="AQ33" s="91"/>
      <c r="AR33" s="68">
        <f t="shared" si="25"/>
        <v>0</v>
      </c>
      <c r="AS33" s="68">
        <f t="shared" ref="AS33:AS44" si="48">+AO33+AQ33-AP33</f>
        <v>577440</v>
      </c>
      <c r="AT33" s="91"/>
      <c r="AU33" s="91"/>
      <c r="AV33" s="68">
        <f t="shared" si="26"/>
        <v>0</v>
      </c>
      <c r="AW33" s="68">
        <f>+AS33</f>
        <v>577440</v>
      </c>
      <c r="AX33" s="91"/>
      <c r="AY33" s="91"/>
      <c r="AZ33" s="152"/>
      <c r="BA33" s="152">
        <v>635043.05000000005</v>
      </c>
      <c r="BB33" s="91"/>
      <c r="BC33" s="91"/>
      <c r="BD33" s="68">
        <f t="shared" si="38"/>
        <v>0</v>
      </c>
      <c r="BE33" s="68">
        <f>+BA33</f>
        <v>635043.05000000005</v>
      </c>
      <c r="BF33" s="91"/>
      <c r="BG33" s="91"/>
      <c r="BH33" s="68">
        <f t="shared" si="27"/>
        <v>0</v>
      </c>
      <c r="BI33" s="68">
        <f>+BE33</f>
        <v>635043.05000000005</v>
      </c>
      <c r="BJ33" s="91"/>
      <c r="BK33" s="91"/>
      <c r="BL33" s="68">
        <f t="shared" si="28"/>
        <v>0</v>
      </c>
      <c r="BM33" s="68">
        <f>+BI33</f>
        <v>635043.05000000005</v>
      </c>
      <c r="BN33" s="91"/>
      <c r="BO33" s="91"/>
      <c r="BP33" s="68">
        <f t="shared" si="29"/>
        <v>0</v>
      </c>
      <c r="BQ33" s="68">
        <f>+BM33</f>
        <v>635043.05000000005</v>
      </c>
      <c r="BR33" s="91"/>
      <c r="BS33" s="91"/>
      <c r="BT33" s="68">
        <f t="shared" si="30"/>
        <v>0</v>
      </c>
      <c r="BU33" s="68">
        <f>+BQ33</f>
        <v>635043.05000000005</v>
      </c>
      <c r="BV33" s="91"/>
      <c r="BW33" s="91"/>
      <c r="BX33" s="68">
        <f t="shared" si="31"/>
        <v>0</v>
      </c>
      <c r="BY33" s="68">
        <f>+BU33</f>
        <v>635043.05000000005</v>
      </c>
      <c r="BZ33" s="91"/>
      <c r="CA33" s="91"/>
      <c r="CB33" s="68">
        <f t="shared" si="32"/>
        <v>0</v>
      </c>
      <c r="CC33" s="68">
        <f>+BY33</f>
        <v>635043.05000000005</v>
      </c>
      <c r="CD33" s="91"/>
      <c r="CE33" s="91"/>
      <c r="CF33" s="68">
        <f t="shared" si="33"/>
        <v>0</v>
      </c>
      <c r="CG33" s="68">
        <f>+CC33</f>
        <v>635043.05000000005</v>
      </c>
      <c r="CH33" s="91"/>
      <c r="CI33" s="91"/>
      <c r="CJ33" s="68">
        <f t="shared" si="34"/>
        <v>0</v>
      </c>
      <c r="CK33" s="68">
        <f>+CG33</f>
        <v>635043.05000000005</v>
      </c>
      <c r="CL33" s="91"/>
      <c r="CM33" s="91"/>
      <c r="CN33" s="68">
        <f t="shared" si="35"/>
        <v>0</v>
      </c>
      <c r="CO33" s="68">
        <f>+CK33</f>
        <v>635043.05000000005</v>
      </c>
      <c r="CP33" s="91"/>
      <c r="CQ33" s="91"/>
      <c r="CR33" s="68">
        <f t="shared" si="36"/>
        <v>0</v>
      </c>
      <c r="CS33" s="68">
        <f>+CO33</f>
        <v>635043.05000000005</v>
      </c>
      <c r="CT33" s="91"/>
      <c r="CU33" s="91"/>
      <c r="CV33" s="68">
        <f t="shared" si="37"/>
        <v>0</v>
      </c>
      <c r="CW33" s="68">
        <f>+CS33</f>
        <v>635043.05000000005</v>
      </c>
    </row>
    <row r="34" spans="1:101" x14ac:dyDescent="0.5">
      <c r="A34" s="67">
        <v>30</v>
      </c>
      <c r="B34" s="81" t="s">
        <v>56</v>
      </c>
      <c r="C34" s="67">
        <v>119</v>
      </c>
      <c r="D34" s="68">
        <f>+'กระดาษทำการ 30 เม.ย.58'!BP37</f>
        <v>298253.89</v>
      </c>
      <c r="E34" s="68">
        <f>+'กระดาษทำการ 30 เม.ย.58'!BQ37</f>
        <v>0</v>
      </c>
      <c r="F34" s="91"/>
      <c r="G34" s="91"/>
      <c r="H34" s="68">
        <f t="shared" si="43"/>
        <v>298253.89</v>
      </c>
      <c r="I34" s="68"/>
      <c r="J34" s="119"/>
      <c r="K34" s="119">
        <v>600</v>
      </c>
      <c r="L34" s="68">
        <f>+H34+J34-K34</f>
        <v>297653.89</v>
      </c>
      <c r="M34" s="68"/>
      <c r="N34" s="91"/>
      <c r="O34" s="91"/>
      <c r="P34" s="68">
        <f>+L34</f>
        <v>297653.89</v>
      </c>
      <c r="Q34" s="68">
        <f>+M34</f>
        <v>0</v>
      </c>
      <c r="R34" s="91"/>
      <c r="S34" s="91"/>
      <c r="T34" s="68">
        <f>+P34+R34-S34</f>
        <v>297653.89</v>
      </c>
      <c r="U34" s="68"/>
      <c r="V34" s="91"/>
      <c r="W34" s="91"/>
      <c r="X34" s="68">
        <f t="shared" si="44"/>
        <v>297653.89</v>
      </c>
      <c r="Y34" s="68">
        <f t="shared" si="47"/>
        <v>0</v>
      </c>
      <c r="Z34" s="91"/>
      <c r="AA34" s="91"/>
      <c r="AB34" s="68">
        <f t="shared" si="45"/>
        <v>297653.89</v>
      </c>
      <c r="AC34" s="68"/>
      <c r="AD34" s="91"/>
      <c r="AE34" s="91"/>
      <c r="AF34" s="68">
        <f t="shared" si="23"/>
        <v>297653.89</v>
      </c>
      <c r="AG34" s="68"/>
      <c r="AH34" s="91"/>
      <c r="AI34" s="91"/>
      <c r="AJ34" s="68">
        <f t="shared" si="24"/>
        <v>297653.89</v>
      </c>
      <c r="AK34" s="68">
        <f t="shared" si="46"/>
        <v>0</v>
      </c>
      <c r="AL34" s="91"/>
      <c r="AM34" s="91"/>
      <c r="AN34" s="68">
        <f>+AJ34</f>
        <v>297653.89</v>
      </c>
      <c r="AO34" s="68"/>
      <c r="AP34" s="91"/>
      <c r="AQ34" s="91"/>
      <c r="AR34" s="68">
        <f t="shared" si="25"/>
        <v>297653.89</v>
      </c>
      <c r="AS34" s="68">
        <f t="shared" si="48"/>
        <v>0</v>
      </c>
      <c r="AT34" s="91"/>
      <c r="AU34" s="91"/>
      <c r="AV34" s="68">
        <f t="shared" si="26"/>
        <v>297653.89</v>
      </c>
      <c r="AW34" s="68"/>
      <c r="AX34" s="91"/>
      <c r="AY34" s="91">
        <f>9339.94+2287</f>
        <v>11626.94</v>
      </c>
      <c r="AZ34" s="152">
        <v>349713.61</v>
      </c>
      <c r="BA34" s="152"/>
      <c r="BB34" s="91"/>
      <c r="BC34" s="91"/>
      <c r="BD34" s="68">
        <f t="shared" si="38"/>
        <v>349713.61</v>
      </c>
      <c r="BE34" s="68"/>
      <c r="BF34" s="91"/>
      <c r="BG34" s="91"/>
      <c r="BH34" s="68">
        <f t="shared" si="27"/>
        <v>349713.61</v>
      </c>
      <c r="BI34" s="68"/>
      <c r="BJ34" s="91"/>
      <c r="BK34" s="91"/>
      <c r="BL34" s="68">
        <f t="shared" si="28"/>
        <v>349713.61</v>
      </c>
      <c r="BM34" s="68"/>
      <c r="BN34" s="91"/>
      <c r="BO34" s="91"/>
      <c r="BP34" s="68">
        <f t="shared" si="29"/>
        <v>349713.61</v>
      </c>
      <c r="BQ34" s="68"/>
      <c r="BR34" s="91"/>
      <c r="BS34" s="91"/>
      <c r="BT34" s="68">
        <f t="shared" si="30"/>
        <v>349713.61</v>
      </c>
      <c r="BU34" s="68"/>
      <c r="BV34" s="91"/>
      <c r="BW34" s="91">
        <v>450</v>
      </c>
      <c r="BX34" s="68">
        <f t="shared" si="31"/>
        <v>349263.61</v>
      </c>
      <c r="BY34" s="68"/>
      <c r="BZ34" s="91"/>
      <c r="CA34" s="91"/>
      <c r="CB34" s="68">
        <f t="shared" si="32"/>
        <v>349263.61</v>
      </c>
      <c r="CC34" s="68"/>
      <c r="CD34" s="91"/>
      <c r="CE34" s="91"/>
      <c r="CF34" s="68">
        <f t="shared" si="33"/>
        <v>349263.61</v>
      </c>
      <c r="CG34" s="68"/>
      <c r="CH34" s="91"/>
      <c r="CI34" s="91"/>
      <c r="CJ34" s="68">
        <f t="shared" si="34"/>
        <v>349263.61</v>
      </c>
      <c r="CK34" s="68"/>
      <c r="CL34" s="91"/>
      <c r="CM34" s="91">
        <v>1036.4100000000001</v>
      </c>
      <c r="CN34" s="68">
        <f t="shared" si="35"/>
        <v>348227.2</v>
      </c>
      <c r="CO34" s="68"/>
      <c r="CP34" s="91"/>
      <c r="CQ34" s="91">
        <v>450</v>
      </c>
      <c r="CR34" s="68">
        <f t="shared" si="36"/>
        <v>347777.2</v>
      </c>
      <c r="CS34" s="68"/>
      <c r="CT34" s="91"/>
      <c r="CU34" s="91"/>
      <c r="CV34" s="68">
        <f t="shared" si="37"/>
        <v>347777.2</v>
      </c>
      <c r="CW34" s="68"/>
    </row>
    <row r="35" spans="1:101" x14ac:dyDescent="0.5">
      <c r="A35" s="67">
        <v>31</v>
      </c>
      <c r="B35" s="81" t="s">
        <v>57</v>
      </c>
      <c r="C35" s="67">
        <v>127</v>
      </c>
      <c r="D35" s="68">
        <f>+'กระดาษทำการ 30 เม.ย.58'!BP38</f>
        <v>0</v>
      </c>
      <c r="E35" s="68">
        <f>+'กระดาษทำการ 30 เม.ย.58'!BQ38</f>
        <v>298253.89</v>
      </c>
      <c r="F35" s="91"/>
      <c r="G35" s="91"/>
      <c r="H35" s="68"/>
      <c r="I35" s="68">
        <f>+E35</f>
        <v>298253.89</v>
      </c>
      <c r="J35" s="91"/>
      <c r="K35" s="91"/>
      <c r="L35" s="68"/>
      <c r="M35" s="68">
        <f>+I35</f>
        <v>298253.89</v>
      </c>
      <c r="N35" s="91"/>
      <c r="O35" s="91"/>
      <c r="P35" s="68"/>
      <c r="Q35" s="68">
        <f t="shared" ref="Q35:Q44" si="49">+M35+O35-N35</f>
        <v>298253.89</v>
      </c>
      <c r="R35" s="91"/>
      <c r="S35" s="91"/>
      <c r="T35" s="68"/>
      <c r="U35" s="68">
        <f t="shared" ref="U35:U44" si="50">+Q35+S35-R35</f>
        <v>298253.89</v>
      </c>
      <c r="V35" s="91"/>
      <c r="W35" s="91"/>
      <c r="X35" s="68"/>
      <c r="Y35" s="68">
        <f t="shared" si="47"/>
        <v>298253.89</v>
      </c>
      <c r="Z35" s="91"/>
      <c r="AA35" s="91"/>
      <c r="AB35" s="68"/>
      <c r="AC35" s="68">
        <f t="shared" ref="AC35:AC44" si="51">+Y35+AA35-Z35</f>
        <v>298253.89</v>
      </c>
      <c r="AD35" s="91"/>
      <c r="AE35" s="91"/>
      <c r="AF35" s="68"/>
      <c r="AG35" s="68">
        <f t="shared" ref="AG35:AG44" si="52">+AC35+AE35-AD35</f>
        <v>298253.89</v>
      </c>
      <c r="AH35" s="91"/>
      <c r="AI35" s="91"/>
      <c r="AJ35" s="68"/>
      <c r="AK35" s="68">
        <f t="shared" si="46"/>
        <v>298253.89</v>
      </c>
      <c r="AL35" s="91"/>
      <c r="AM35" s="91"/>
      <c r="AN35" s="68"/>
      <c r="AO35" s="68">
        <f>+AK35</f>
        <v>298253.89</v>
      </c>
      <c r="AP35" s="91"/>
      <c r="AQ35" s="91"/>
      <c r="AR35" s="68">
        <f t="shared" si="25"/>
        <v>0</v>
      </c>
      <c r="AS35" s="68">
        <f t="shared" si="48"/>
        <v>298253.89</v>
      </c>
      <c r="AT35" s="91"/>
      <c r="AU35" s="91"/>
      <c r="AV35" s="68">
        <f t="shared" si="26"/>
        <v>0</v>
      </c>
      <c r="AW35" s="68">
        <f>+AS35</f>
        <v>298253.89</v>
      </c>
      <c r="AX35" s="91"/>
      <c r="AY35" s="91"/>
      <c r="AZ35" s="152"/>
      <c r="BA35" s="152">
        <v>349713.61</v>
      </c>
      <c r="BB35" s="91"/>
      <c r="BC35" s="91"/>
      <c r="BD35" s="68"/>
      <c r="BE35" s="68">
        <f t="shared" ref="BE35:BE58" si="53">+BA35+BC35-BB35</f>
        <v>349713.61</v>
      </c>
      <c r="BF35" s="91"/>
      <c r="BG35" s="91"/>
      <c r="BH35" s="68"/>
      <c r="BI35" s="68">
        <f t="shared" ref="BI35:BI58" si="54">+BE35+BG35-BF35</f>
        <v>349713.61</v>
      </c>
      <c r="BJ35" s="91"/>
      <c r="BK35" s="91"/>
      <c r="BL35" s="68"/>
      <c r="BM35" s="68">
        <f t="shared" ref="BM35:BM44" si="55">+BI35+BK35-BJ35</f>
        <v>349713.61</v>
      </c>
      <c r="BN35" s="91"/>
      <c r="BO35" s="91"/>
      <c r="BP35" s="68"/>
      <c r="BQ35" s="68">
        <f t="shared" ref="BQ35:BQ44" si="56">+BM35+BO35-BN35</f>
        <v>349713.61</v>
      </c>
      <c r="BR35" s="91"/>
      <c r="BS35" s="91"/>
      <c r="BT35" s="68">
        <f t="shared" si="30"/>
        <v>0</v>
      </c>
      <c r="BU35" s="68">
        <f t="shared" ref="BU35:BU44" si="57">+BQ35+BS35-BR35</f>
        <v>349713.61</v>
      </c>
      <c r="BV35" s="91"/>
      <c r="BW35" s="91"/>
      <c r="BX35" s="68">
        <f t="shared" si="31"/>
        <v>0</v>
      </c>
      <c r="BY35" s="68">
        <f t="shared" ref="BY35:BY44" si="58">+BU35+BW35-BV35</f>
        <v>349713.61</v>
      </c>
      <c r="BZ35" s="91"/>
      <c r="CA35" s="91"/>
      <c r="CB35" s="68">
        <f t="shared" si="32"/>
        <v>0</v>
      </c>
      <c r="CC35" s="68">
        <f t="shared" ref="CC35:CC44" si="59">+BY35+CA35-BZ35</f>
        <v>349713.61</v>
      </c>
      <c r="CD35" s="91"/>
      <c r="CE35" s="91"/>
      <c r="CF35" s="68">
        <f t="shared" si="33"/>
        <v>0</v>
      </c>
      <c r="CG35" s="68">
        <f t="shared" ref="CG35:CG44" si="60">+CC35+CE35-CD35</f>
        <v>349713.61</v>
      </c>
      <c r="CH35" s="91"/>
      <c r="CI35" s="91"/>
      <c r="CJ35" s="68">
        <f t="shared" si="34"/>
        <v>0</v>
      </c>
      <c r="CK35" s="68">
        <f t="shared" ref="CK35:CK44" si="61">+CG35+CI35-CH35</f>
        <v>349713.61</v>
      </c>
      <c r="CL35" s="91"/>
      <c r="CM35" s="91"/>
      <c r="CN35" s="68">
        <f t="shared" si="35"/>
        <v>0</v>
      </c>
      <c r="CO35" s="68">
        <f t="shared" ref="CO35:CO44" si="62">+CK35+CM35-CL35</f>
        <v>349713.61</v>
      </c>
      <c r="CP35" s="91"/>
      <c r="CQ35" s="91"/>
      <c r="CR35" s="68">
        <f t="shared" si="36"/>
        <v>0</v>
      </c>
      <c r="CS35" s="68">
        <f t="shared" ref="CS35:CS44" si="63">+CO35+CQ35-CP35</f>
        <v>349713.61</v>
      </c>
      <c r="CT35" s="91"/>
      <c r="CU35" s="91"/>
      <c r="CV35" s="68">
        <f t="shared" si="37"/>
        <v>0</v>
      </c>
      <c r="CW35" s="68">
        <f t="shared" ref="CW35:CW44" si="64">+CS35+CU35-CT35</f>
        <v>349713.61</v>
      </c>
    </row>
    <row r="36" spans="1:101" ht="24" x14ac:dyDescent="0.55000000000000004">
      <c r="A36" s="67">
        <v>32</v>
      </c>
      <c r="B36" s="81" t="s">
        <v>58</v>
      </c>
      <c r="C36" s="67">
        <v>149</v>
      </c>
      <c r="D36" s="68">
        <f>+'กระดาษทำการ 30 เม.ย.58'!BP39</f>
        <v>0</v>
      </c>
      <c r="E36" s="68">
        <f>+'กระดาษทำการ 30 เม.ย.58'!BQ39</f>
        <v>308681.46000000002</v>
      </c>
      <c r="F36" s="119"/>
      <c r="G36" s="119">
        <v>100</v>
      </c>
      <c r="H36" s="68"/>
      <c r="I36" s="68">
        <f>+E36-F36+G36</f>
        <v>308781.46000000002</v>
      </c>
      <c r="J36" s="119">
        <f>1727.96+418.69</f>
        <v>2146.65</v>
      </c>
      <c r="K36" s="119"/>
      <c r="L36" s="68"/>
      <c r="M36" s="68">
        <f t="shared" ref="M36:M44" si="65">+I36-J36+K36</f>
        <v>306634.81</v>
      </c>
      <c r="N36" s="119">
        <v>418.69</v>
      </c>
      <c r="O36" s="119">
        <v>3220</v>
      </c>
      <c r="P36" s="68"/>
      <c r="Q36" s="68">
        <f t="shared" si="49"/>
        <v>309436.12</v>
      </c>
      <c r="R36" s="92">
        <v>105</v>
      </c>
      <c r="S36" s="92"/>
      <c r="T36" s="68"/>
      <c r="U36" s="68">
        <f t="shared" si="50"/>
        <v>309331.12</v>
      </c>
      <c r="V36" s="91"/>
      <c r="W36" s="91"/>
      <c r="X36" s="68"/>
      <c r="Y36" s="68">
        <f t="shared" si="47"/>
        <v>309331.12</v>
      </c>
      <c r="Z36" s="92">
        <f>418.69+453.95</f>
        <v>872.64</v>
      </c>
      <c r="AA36" s="92">
        <v>800</v>
      </c>
      <c r="AB36" s="68"/>
      <c r="AC36" s="68">
        <f t="shared" si="51"/>
        <v>309258.48</v>
      </c>
      <c r="AD36" s="91"/>
      <c r="AE36" s="91">
        <f>100+200</f>
        <v>300</v>
      </c>
      <c r="AF36" s="68"/>
      <c r="AG36" s="68">
        <f t="shared" si="52"/>
        <v>309558.48</v>
      </c>
      <c r="AH36" s="91"/>
      <c r="AI36" s="91"/>
      <c r="AJ36" s="68"/>
      <c r="AK36" s="68">
        <f t="shared" si="46"/>
        <v>309558.48</v>
      </c>
      <c r="AL36" s="91"/>
      <c r="AM36" s="91">
        <f>2650+3320</f>
        <v>5970</v>
      </c>
      <c r="AN36" s="68"/>
      <c r="AO36" s="68">
        <f>+AK36+AM36-AL36</f>
        <v>315528.48</v>
      </c>
      <c r="AP36" s="91"/>
      <c r="AQ36" s="91">
        <v>5300</v>
      </c>
      <c r="AR36" s="68">
        <v>0</v>
      </c>
      <c r="AS36" s="68">
        <f t="shared" si="48"/>
        <v>320828.48</v>
      </c>
      <c r="AT36" s="92">
        <f>1382.73+500</f>
        <v>1882.73</v>
      </c>
      <c r="AU36" s="92">
        <f>3160+4270</f>
        <v>7430</v>
      </c>
      <c r="AV36" s="68"/>
      <c r="AW36" s="68">
        <f t="shared" ref="AW36:AW44" si="66">+AS36+AU36-AT36</f>
        <v>326375.75</v>
      </c>
      <c r="AX36" s="91">
        <f>4789.63+600+2020.09+710.36</f>
        <v>8120.08</v>
      </c>
      <c r="AY36" s="91">
        <f>6587+800+1690</f>
        <v>9077</v>
      </c>
      <c r="AZ36" s="152"/>
      <c r="BA36" s="152">
        <v>343081.75</v>
      </c>
      <c r="BB36" s="91">
        <v>7417.1</v>
      </c>
      <c r="BC36" s="91"/>
      <c r="BD36" s="68"/>
      <c r="BE36" s="68">
        <f t="shared" si="53"/>
        <v>335664.65</v>
      </c>
      <c r="BF36" s="91"/>
      <c r="BG36" s="91"/>
      <c r="BH36" s="68"/>
      <c r="BI36" s="68">
        <f t="shared" si="54"/>
        <v>335664.65</v>
      </c>
      <c r="BJ36" s="91"/>
      <c r="BK36" s="91"/>
      <c r="BL36" s="68"/>
      <c r="BM36" s="68">
        <f t="shared" si="55"/>
        <v>335664.65</v>
      </c>
      <c r="BN36" s="91"/>
      <c r="BO36" s="91">
        <v>2990</v>
      </c>
      <c r="BP36" s="68"/>
      <c r="BQ36" s="68">
        <f t="shared" si="56"/>
        <v>338654.65</v>
      </c>
      <c r="BR36" s="91"/>
      <c r="BS36" s="91">
        <v>330</v>
      </c>
      <c r="BT36" s="68"/>
      <c r="BU36" s="68">
        <f t="shared" si="57"/>
        <v>338984.65</v>
      </c>
      <c r="BV36" s="91">
        <v>674.17</v>
      </c>
      <c r="BW36" s="91">
        <v>330</v>
      </c>
      <c r="BX36" s="68"/>
      <c r="BY36" s="68">
        <f t="shared" si="58"/>
        <v>338640.48000000004</v>
      </c>
      <c r="BZ36" s="91">
        <v>1000</v>
      </c>
      <c r="CA36" s="91">
        <v>1000</v>
      </c>
      <c r="CB36" s="68"/>
      <c r="CC36" s="68">
        <f t="shared" si="59"/>
        <v>338640.48000000004</v>
      </c>
      <c r="CD36" s="91">
        <v>1184.28</v>
      </c>
      <c r="CE36" s="91">
        <v>300</v>
      </c>
      <c r="CF36" s="68"/>
      <c r="CG36" s="68">
        <f t="shared" si="60"/>
        <v>337756.2</v>
      </c>
      <c r="CH36" s="91"/>
      <c r="CI36" s="91">
        <v>3280</v>
      </c>
      <c r="CJ36" s="68"/>
      <c r="CK36" s="68">
        <f t="shared" si="61"/>
        <v>341036.2</v>
      </c>
      <c r="CL36" s="91"/>
      <c r="CM36" s="91">
        <v>8280</v>
      </c>
      <c r="CN36" s="68"/>
      <c r="CO36" s="68">
        <f t="shared" si="62"/>
        <v>349316.2</v>
      </c>
      <c r="CP36" s="91">
        <v>4094.23</v>
      </c>
      <c r="CQ36" s="91">
        <v>7300</v>
      </c>
      <c r="CR36" s="68"/>
      <c r="CS36" s="68">
        <f t="shared" si="63"/>
        <v>352521.97000000003</v>
      </c>
      <c r="CT36" s="91">
        <v>4953.62</v>
      </c>
      <c r="CU36" s="91">
        <v>10050</v>
      </c>
      <c r="CV36" s="68"/>
      <c r="CW36" s="68">
        <f t="shared" si="64"/>
        <v>357618.35000000003</v>
      </c>
    </row>
    <row r="37" spans="1:101" x14ac:dyDescent="0.5">
      <c r="A37" s="67">
        <v>33</v>
      </c>
      <c r="B37" s="81" t="s">
        <v>59</v>
      </c>
      <c r="C37" s="67">
        <v>155</v>
      </c>
      <c r="D37" s="68">
        <f>+'กระดาษทำการ 30 เม.ย.58'!BP40</f>
        <v>0</v>
      </c>
      <c r="E37" s="68">
        <f>+'กระดาษทำการ 30 เม.ย.58'!BQ40</f>
        <v>16474.86</v>
      </c>
      <c r="F37" s="91"/>
      <c r="G37" s="91"/>
      <c r="H37" s="68"/>
      <c r="I37" s="68">
        <f t="shared" ref="I37:I44" si="67">+E37</f>
        <v>16474.86</v>
      </c>
      <c r="J37" s="91"/>
      <c r="K37" s="91"/>
      <c r="L37" s="68"/>
      <c r="M37" s="68">
        <f t="shared" si="65"/>
        <v>16474.86</v>
      </c>
      <c r="N37" s="91"/>
      <c r="O37" s="91"/>
      <c r="P37" s="68"/>
      <c r="Q37" s="68">
        <f t="shared" si="49"/>
        <v>16474.86</v>
      </c>
      <c r="R37" s="91"/>
      <c r="S37" s="91"/>
      <c r="T37" s="68"/>
      <c r="U37" s="68">
        <f t="shared" si="50"/>
        <v>16474.86</v>
      </c>
      <c r="V37" s="91"/>
      <c r="W37" s="91"/>
      <c r="X37" s="68"/>
      <c r="Y37" s="68">
        <f t="shared" si="47"/>
        <v>16474.86</v>
      </c>
      <c r="Z37" s="91"/>
      <c r="AA37" s="91"/>
      <c r="AB37" s="68"/>
      <c r="AC37" s="68">
        <f t="shared" si="51"/>
        <v>16474.86</v>
      </c>
      <c r="AD37" s="91"/>
      <c r="AE37" s="91"/>
      <c r="AF37" s="68"/>
      <c r="AG37" s="68">
        <f t="shared" si="52"/>
        <v>16474.86</v>
      </c>
      <c r="AH37" s="91"/>
      <c r="AI37" s="91"/>
      <c r="AJ37" s="68"/>
      <c r="AK37" s="68">
        <f t="shared" si="46"/>
        <v>16474.86</v>
      </c>
      <c r="AL37" s="91"/>
      <c r="AM37" s="91"/>
      <c r="AN37" s="68"/>
      <c r="AO37" s="68">
        <f t="shared" ref="AO37:AO44" si="68">+AK37</f>
        <v>16474.86</v>
      </c>
      <c r="AP37" s="91"/>
      <c r="AQ37" s="91"/>
      <c r="AR37" s="68">
        <f t="shared" ref="AR37:AR43" si="69">+AN37+AP37-AQ37</f>
        <v>0</v>
      </c>
      <c r="AS37" s="68">
        <f t="shared" si="48"/>
        <v>16474.86</v>
      </c>
      <c r="AT37" s="91"/>
      <c r="AU37" s="91"/>
      <c r="AV37" s="68"/>
      <c r="AW37" s="68">
        <f t="shared" si="66"/>
        <v>16474.86</v>
      </c>
      <c r="AX37" s="91"/>
      <c r="AY37" s="91"/>
      <c r="AZ37" s="152"/>
      <c r="BA37" s="152">
        <v>23949.49</v>
      </c>
      <c r="BB37" s="91"/>
      <c r="BC37" s="91"/>
      <c r="BD37" s="68"/>
      <c r="BE37" s="68">
        <f t="shared" si="53"/>
        <v>23949.49</v>
      </c>
      <c r="BF37" s="91"/>
      <c r="BG37" s="91"/>
      <c r="BH37" s="68"/>
      <c r="BI37" s="68">
        <f t="shared" si="54"/>
        <v>23949.49</v>
      </c>
      <c r="BJ37" s="91"/>
      <c r="BK37" s="91"/>
      <c r="BL37" s="68"/>
      <c r="BM37" s="68">
        <f t="shared" si="55"/>
        <v>23949.49</v>
      </c>
      <c r="BN37" s="91"/>
      <c r="BO37" s="91"/>
      <c r="BP37" s="68"/>
      <c r="BQ37" s="68">
        <f t="shared" si="56"/>
        <v>23949.49</v>
      </c>
      <c r="BR37" s="91"/>
      <c r="BS37" s="91"/>
      <c r="BT37" s="68">
        <f t="shared" ref="BT37:BT44" si="70">BP37+BR37-BS37</f>
        <v>0</v>
      </c>
      <c r="BU37" s="68">
        <f t="shared" si="57"/>
        <v>23949.49</v>
      </c>
      <c r="BV37" s="91"/>
      <c r="BW37" s="91"/>
      <c r="BX37" s="68">
        <f t="shared" ref="BX37:BX48" si="71">BT37+BV37-BW37</f>
        <v>0</v>
      </c>
      <c r="BY37" s="68">
        <f t="shared" si="58"/>
        <v>23949.49</v>
      </c>
      <c r="BZ37" s="91"/>
      <c r="CA37" s="91"/>
      <c r="CB37" s="68">
        <f t="shared" ref="CB37:CB48" si="72">BX37+BZ37-CA37</f>
        <v>0</v>
      </c>
      <c r="CC37" s="68">
        <f t="shared" si="59"/>
        <v>23949.49</v>
      </c>
      <c r="CD37" s="91"/>
      <c r="CE37" s="91"/>
      <c r="CF37" s="68">
        <f t="shared" ref="CF37:CF48" si="73">CB37+CD37-CE37</f>
        <v>0</v>
      </c>
      <c r="CG37" s="68">
        <f t="shared" si="60"/>
        <v>23949.49</v>
      </c>
      <c r="CH37" s="91"/>
      <c r="CI37" s="91"/>
      <c r="CJ37" s="68">
        <f t="shared" ref="CJ37:CJ48" si="74">CF37+CH37-CI37</f>
        <v>0</v>
      </c>
      <c r="CK37" s="68">
        <f t="shared" si="61"/>
        <v>23949.49</v>
      </c>
      <c r="CL37" s="91"/>
      <c r="CM37" s="91"/>
      <c r="CN37" s="68">
        <f t="shared" ref="CN37:CN48" si="75">CJ37+CL37-CM37</f>
        <v>0</v>
      </c>
      <c r="CO37" s="68">
        <f t="shared" si="62"/>
        <v>23949.49</v>
      </c>
      <c r="CP37" s="91"/>
      <c r="CQ37" s="91"/>
      <c r="CR37" s="68">
        <f t="shared" ref="CR37:CR48" si="76">CN37+CP37-CQ37</f>
        <v>0</v>
      </c>
      <c r="CS37" s="68">
        <f t="shared" si="63"/>
        <v>23949.49</v>
      </c>
      <c r="CT37" s="91"/>
      <c r="CU37" s="91"/>
      <c r="CV37" s="68">
        <f t="shared" ref="CV37:CV48" si="77">CR37+CT37-CU37</f>
        <v>0</v>
      </c>
      <c r="CW37" s="68">
        <f t="shared" si="64"/>
        <v>23949.49</v>
      </c>
    </row>
    <row r="38" spans="1:101" x14ac:dyDescent="0.5">
      <c r="A38" s="67">
        <v>34</v>
      </c>
      <c r="B38" s="81" t="s">
        <v>6</v>
      </c>
      <c r="C38" s="67">
        <v>65</v>
      </c>
      <c r="D38" s="68">
        <f>+'กระดาษทำการ 30 เม.ย.58'!BP41</f>
        <v>0</v>
      </c>
      <c r="E38" s="68">
        <f>+'กระดาษทำการ 30 เม.ย.58'!BQ41</f>
        <v>16695</v>
      </c>
      <c r="F38" s="91"/>
      <c r="G38" s="91"/>
      <c r="H38" s="68"/>
      <c r="I38" s="68">
        <f t="shared" si="67"/>
        <v>16695</v>
      </c>
      <c r="J38" s="91"/>
      <c r="K38" s="91"/>
      <c r="L38" s="68"/>
      <c r="M38" s="68">
        <f t="shared" si="65"/>
        <v>16695</v>
      </c>
      <c r="N38" s="91"/>
      <c r="O38" s="91"/>
      <c r="P38" s="68"/>
      <c r="Q38" s="68">
        <f t="shared" si="49"/>
        <v>16695</v>
      </c>
      <c r="R38" s="91"/>
      <c r="S38" s="91"/>
      <c r="T38" s="68"/>
      <c r="U38" s="68">
        <f t="shared" si="50"/>
        <v>16695</v>
      </c>
      <c r="V38" s="91"/>
      <c r="W38" s="91"/>
      <c r="X38" s="68"/>
      <c r="Y38" s="68">
        <f t="shared" si="47"/>
        <v>16695</v>
      </c>
      <c r="Z38" s="91"/>
      <c r="AA38" s="91"/>
      <c r="AB38" s="68"/>
      <c r="AC38" s="68">
        <f t="shared" si="51"/>
        <v>16695</v>
      </c>
      <c r="AD38" s="91"/>
      <c r="AE38" s="91"/>
      <c r="AF38" s="68"/>
      <c r="AG38" s="68">
        <f t="shared" si="52"/>
        <v>16695</v>
      </c>
      <c r="AH38" s="91"/>
      <c r="AI38" s="91"/>
      <c r="AJ38" s="68"/>
      <c r="AK38" s="68">
        <f t="shared" si="46"/>
        <v>16695</v>
      </c>
      <c r="AL38" s="91"/>
      <c r="AM38" s="91"/>
      <c r="AN38" s="68"/>
      <c r="AO38" s="68">
        <f t="shared" si="68"/>
        <v>16695</v>
      </c>
      <c r="AP38" s="91"/>
      <c r="AQ38" s="91"/>
      <c r="AR38" s="68">
        <f t="shared" si="69"/>
        <v>0</v>
      </c>
      <c r="AS38" s="68">
        <f t="shared" si="48"/>
        <v>16695</v>
      </c>
      <c r="AT38" s="91"/>
      <c r="AU38" s="91"/>
      <c r="AV38" s="68"/>
      <c r="AW38" s="68">
        <f t="shared" si="66"/>
        <v>16695</v>
      </c>
      <c r="AX38" s="91"/>
      <c r="AY38" s="91"/>
      <c r="AZ38" s="152"/>
      <c r="BA38" s="152">
        <f>+AW38+AY38-AX38</f>
        <v>16695</v>
      </c>
      <c r="BB38" s="91"/>
      <c r="BC38" s="91"/>
      <c r="BD38" s="68"/>
      <c r="BE38" s="68">
        <f t="shared" si="53"/>
        <v>16695</v>
      </c>
      <c r="BF38" s="91"/>
      <c r="BG38" s="91"/>
      <c r="BH38" s="68"/>
      <c r="BI38" s="68">
        <f t="shared" si="54"/>
        <v>16695</v>
      </c>
      <c r="BJ38" s="91"/>
      <c r="BK38" s="91"/>
      <c r="BL38" s="68"/>
      <c r="BM38" s="68">
        <f t="shared" si="55"/>
        <v>16695</v>
      </c>
      <c r="BN38" s="91"/>
      <c r="BO38" s="91"/>
      <c r="BP38" s="68"/>
      <c r="BQ38" s="68">
        <f t="shared" si="56"/>
        <v>16695</v>
      </c>
      <c r="BR38" s="91"/>
      <c r="BS38" s="91"/>
      <c r="BT38" s="68">
        <f t="shared" si="70"/>
        <v>0</v>
      </c>
      <c r="BU38" s="68">
        <f t="shared" si="57"/>
        <v>16695</v>
      </c>
      <c r="BV38" s="91"/>
      <c r="BW38" s="91"/>
      <c r="BX38" s="68">
        <f t="shared" si="71"/>
        <v>0</v>
      </c>
      <c r="BY38" s="68">
        <f t="shared" si="58"/>
        <v>16695</v>
      </c>
      <c r="BZ38" s="91"/>
      <c r="CA38" s="91"/>
      <c r="CB38" s="68">
        <f t="shared" si="72"/>
        <v>0</v>
      </c>
      <c r="CC38" s="68">
        <f t="shared" si="59"/>
        <v>16695</v>
      </c>
      <c r="CD38" s="91"/>
      <c r="CE38" s="91"/>
      <c r="CF38" s="68">
        <f t="shared" si="73"/>
        <v>0</v>
      </c>
      <c r="CG38" s="68">
        <f t="shared" si="60"/>
        <v>16695</v>
      </c>
      <c r="CH38" s="91"/>
      <c r="CI38" s="91"/>
      <c r="CJ38" s="68">
        <f t="shared" si="74"/>
        <v>0</v>
      </c>
      <c r="CK38" s="68">
        <f t="shared" si="61"/>
        <v>16695</v>
      </c>
      <c r="CL38" s="91"/>
      <c r="CM38" s="91"/>
      <c r="CN38" s="68">
        <f t="shared" si="75"/>
        <v>0</v>
      </c>
      <c r="CO38" s="68">
        <f t="shared" si="62"/>
        <v>16695</v>
      </c>
      <c r="CP38" s="91"/>
      <c r="CQ38" s="91"/>
      <c r="CR38" s="68">
        <f t="shared" si="76"/>
        <v>0</v>
      </c>
      <c r="CS38" s="68">
        <f t="shared" si="63"/>
        <v>16695</v>
      </c>
      <c r="CT38" s="91"/>
      <c r="CU38" s="91"/>
      <c r="CV38" s="68">
        <f t="shared" si="77"/>
        <v>0</v>
      </c>
      <c r="CW38" s="68">
        <f t="shared" si="64"/>
        <v>16695</v>
      </c>
    </row>
    <row r="39" spans="1:101" x14ac:dyDescent="0.5">
      <c r="A39" s="67">
        <v>35</v>
      </c>
      <c r="B39" s="81" t="s">
        <v>5</v>
      </c>
      <c r="C39" s="67">
        <v>159</v>
      </c>
      <c r="D39" s="68">
        <f>+'กระดาษทำการ 30 เม.ย.58'!BP42</f>
        <v>0</v>
      </c>
      <c r="E39" s="68">
        <f>+'กระดาษทำการ 30 เม.ย.58'!BQ42</f>
        <v>600</v>
      </c>
      <c r="F39" s="91"/>
      <c r="G39" s="91"/>
      <c r="H39" s="68"/>
      <c r="I39" s="68">
        <f t="shared" si="67"/>
        <v>600</v>
      </c>
      <c r="J39" s="91"/>
      <c r="K39" s="91"/>
      <c r="L39" s="68"/>
      <c r="M39" s="68">
        <f t="shared" si="65"/>
        <v>600</v>
      </c>
      <c r="N39" s="91"/>
      <c r="O39" s="91"/>
      <c r="P39" s="68"/>
      <c r="Q39" s="68">
        <f t="shared" si="49"/>
        <v>600</v>
      </c>
      <c r="R39" s="91"/>
      <c r="S39" s="91"/>
      <c r="T39" s="68"/>
      <c r="U39" s="68">
        <f t="shared" si="50"/>
        <v>600</v>
      </c>
      <c r="V39" s="91"/>
      <c r="W39" s="91"/>
      <c r="X39" s="68"/>
      <c r="Y39" s="68">
        <f t="shared" si="47"/>
        <v>600</v>
      </c>
      <c r="Z39" s="91"/>
      <c r="AA39" s="91"/>
      <c r="AB39" s="68"/>
      <c r="AC39" s="68">
        <f t="shared" si="51"/>
        <v>600</v>
      </c>
      <c r="AD39" s="91"/>
      <c r="AE39" s="91"/>
      <c r="AF39" s="68"/>
      <c r="AG39" s="68">
        <f t="shared" si="52"/>
        <v>600</v>
      </c>
      <c r="AH39" s="91"/>
      <c r="AI39" s="91"/>
      <c r="AJ39" s="68"/>
      <c r="AK39" s="68">
        <f t="shared" si="46"/>
        <v>600</v>
      </c>
      <c r="AL39" s="91"/>
      <c r="AM39" s="91"/>
      <c r="AN39" s="68"/>
      <c r="AO39" s="68">
        <f t="shared" si="68"/>
        <v>600</v>
      </c>
      <c r="AP39" s="91"/>
      <c r="AQ39" s="91"/>
      <c r="AR39" s="68">
        <f t="shared" si="69"/>
        <v>0</v>
      </c>
      <c r="AS39" s="68">
        <f t="shared" si="48"/>
        <v>600</v>
      </c>
      <c r="AT39" s="91"/>
      <c r="AU39" s="91"/>
      <c r="AV39" s="68"/>
      <c r="AW39" s="68">
        <f t="shared" si="66"/>
        <v>600</v>
      </c>
      <c r="AX39" s="91"/>
      <c r="AY39" s="91"/>
      <c r="AZ39" s="152"/>
      <c r="BA39" s="152">
        <f>+AW39+AY39-AX39</f>
        <v>600</v>
      </c>
      <c r="BB39" s="91"/>
      <c r="BC39" s="91"/>
      <c r="BD39" s="68"/>
      <c r="BE39" s="68">
        <f t="shared" si="53"/>
        <v>600</v>
      </c>
      <c r="BF39" s="91"/>
      <c r="BG39" s="91"/>
      <c r="BH39" s="68"/>
      <c r="BI39" s="68">
        <f t="shared" si="54"/>
        <v>600</v>
      </c>
      <c r="BJ39" s="91"/>
      <c r="BK39" s="91"/>
      <c r="BL39" s="68"/>
      <c r="BM39" s="68">
        <f t="shared" si="55"/>
        <v>600</v>
      </c>
      <c r="BN39" s="91"/>
      <c r="BO39" s="91"/>
      <c r="BP39" s="68"/>
      <c r="BQ39" s="68">
        <f t="shared" si="56"/>
        <v>600</v>
      </c>
      <c r="BR39" s="91"/>
      <c r="BS39" s="91"/>
      <c r="BT39" s="68">
        <f t="shared" si="70"/>
        <v>0</v>
      </c>
      <c r="BU39" s="68">
        <f t="shared" si="57"/>
        <v>600</v>
      </c>
      <c r="BV39" s="91"/>
      <c r="BW39" s="91"/>
      <c r="BX39" s="68">
        <f t="shared" si="71"/>
        <v>0</v>
      </c>
      <c r="BY39" s="68">
        <f t="shared" si="58"/>
        <v>600</v>
      </c>
      <c r="BZ39" s="91"/>
      <c r="CA39" s="91"/>
      <c r="CB39" s="68">
        <f t="shared" si="72"/>
        <v>0</v>
      </c>
      <c r="CC39" s="68">
        <f t="shared" si="59"/>
        <v>600</v>
      </c>
      <c r="CD39" s="91"/>
      <c r="CE39" s="91"/>
      <c r="CF39" s="68">
        <f t="shared" si="73"/>
        <v>0</v>
      </c>
      <c r="CG39" s="68">
        <f t="shared" si="60"/>
        <v>600</v>
      </c>
      <c r="CH39" s="91"/>
      <c r="CI39" s="91"/>
      <c r="CJ39" s="68">
        <f t="shared" si="74"/>
        <v>0</v>
      </c>
      <c r="CK39" s="68">
        <f t="shared" si="61"/>
        <v>600</v>
      </c>
      <c r="CL39" s="91"/>
      <c r="CM39" s="91"/>
      <c r="CN39" s="68">
        <f t="shared" si="75"/>
        <v>0</v>
      </c>
      <c r="CO39" s="68">
        <f t="shared" si="62"/>
        <v>600</v>
      </c>
      <c r="CP39" s="91"/>
      <c r="CQ39" s="91"/>
      <c r="CR39" s="68">
        <f t="shared" si="76"/>
        <v>0</v>
      </c>
      <c r="CS39" s="68">
        <f t="shared" si="63"/>
        <v>600</v>
      </c>
      <c r="CT39" s="91"/>
      <c r="CU39" s="91"/>
      <c r="CV39" s="68">
        <f t="shared" si="77"/>
        <v>0</v>
      </c>
      <c r="CW39" s="68">
        <f t="shared" si="64"/>
        <v>600</v>
      </c>
    </row>
    <row r="40" spans="1:101" x14ac:dyDescent="0.5">
      <c r="A40" s="67">
        <v>36</v>
      </c>
      <c r="B40" s="81" t="s">
        <v>0</v>
      </c>
      <c r="C40" s="67">
        <v>163</v>
      </c>
      <c r="D40" s="68">
        <f>+'กระดาษทำการ 30 เม.ย.58'!BP43</f>
        <v>0</v>
      </c>
      <c r="E40" s="68">
        <f>+'กระดาษทำการ 30 เม.ย.58'!BQ43</f>
        <v>6209.34</v>
      </c>
      <c r="F40" s="91"/>
      <c r="G40" s="91"/>
      <c r="H40" s="68"/>
      <c r="I40" s="68">
        <f t="shared" si="67"/>
        <v>6209.34</v>
      </c>
      <c r="J40" s="91"/>
      <c r="K40" s="91"/>
      <c r="L40" s="68"/>
      <c r="M40" s="68">
        <f t="shared" si="65"/>
        <v>6209.34</v>
      </c>
      <c r="N40" s="91"/>
      <c r="O40" s="91"/>
      <c r="P40" s="68"/>
      <c r="Q40" s="68">
        <f t="shared" si="49"/>
        <v>6209.34</v>
      </c>
      <c r="R40" s="91"/>
      <c r="S40" s="91"/>
      <c r="T40" s="68"/>
      <c r="U40" s="68">
        <f t="shared" si="50"/>
        <v>6209.34</v>
      </c>
      <c r="V40" s="91"/>
      <c r="W40" s="91"/>
      <c r="X40" s="68"/>
      <c r="Y40" s="68">
        <f t="shared" si="47"/>
        <v>6209.34</v>
      </c>
      <c r="Z40" s="91"/>
      <c r="AA40" s="91"/>
      <c r="AB40" s="68"/>
      <c r="AC40" s="68">
        <f t="shared" si="51"/>
        <v>6209.34</v>
      </c>
      <c r="AD40" s="91"/>
      <c r="AE40" s="91"/>
      <c r="AF40" s="68"/>
      <c r="AG40" s="68">
        <f t="shared" si="52"/>
        <v>6209.34</v>
      </c>
      <c r="AH40" s="91"/>
      <c r="AI40" s="91"/>
      <c r="AJ40" s="68"/>
      <c r="AK40" s="68">
        <f t="shared" si="46"/>
        <v>6209.34</v>
      </c>
      <c r="AL40" s="91"/>
      <c r="AM40" s="91"/>
      <c r="AN40" s="68"/>
      <c r="AO40" s="68">
        <f t="shared" si="68"/>
        <v>6209.34</v>
      </c>
      <c r="AP40" s="91"/>
      <c r="AQ40" s="91"/>
      <c r="AR40" s="68">
        <f t="shared" si="69"/>
        <v>0</v>
      </c>
      <c r="AS40" s="68">
        <f t="shared" si="48"/>
        <v>6209.34</v>
      </c>
      <c r="AT40" s="91"/>
      <c r="AU40" s="91"/>
      <c r="AV40" s="68"/>
      <c r="AW40" s="68">
        <f t="shared" si="66"/>
        <v>6209.34</v>
      </c>
      <c r="AX40" s="91"/>
      <c r="AY40" s="91"/>
      <c r="AZ40" s="152"/>
      <c r="BA40" s="152">
        <f>+AW40+AY40-AX40</f>
        <v>6209.34</v>
      </c>
      <c r="BB40" s="91"/>
      <c r="BC40" s="91"/>
      <c r="BD40" s="68"/>
      <c r="BE40" s="68">
        <f t="shared" si="53"/>
        <v>6209.34</v>
      </c>
      <c r="BF40" s="91"/>
      <c r="BG40" s="91"/>
      <c r="BH40" s="68"/>
      <c r="BI40" s="68">
        <f t="shared" si="54"/>
        <v>6209.34</v>
      </c>
      <c r="BJ40" s="91"/>
      <c r="BK40" s="91"/>
      <c r="BL40" s="68"/>
      <c r="BM40" s="68">
        <f t="shared" si="55"/>
        <v>6209.34</v>
      </c>
      <c r="BN40" s="91"/>
      <c r="BO40" s="91"/>
      <c r="BP40" s="68"/>
      <c r="BQ40" s="68">
        <f t="shared" si="56"/>
        <v>6209.34</v>
      </c>
      <c r="BR40" s="91"/>
      <c r="BS40" s="91"/>
      <c r="BT40" s="68">
        <f t="shared" si="70"/>
        <v>0</v>
      </c>
      <c r="BU40" s="68">
        <f t="shared" si="57"/>
        <v>6209.34</v>
      </c>
      <c r="BV40" s="91"/>
      <c r="BW40" s="91"/>
      <c r="BX40" s="68">
        <f t="shared" si="71"/>
        <v>0</v>
      </c>
      <c r="BY40" s="68">
        <f t="shared" si="58"/>
        <v>6209.34</v>
      </c>
      <c r="BZ40" s="91"/>
      <c r="CA40" s="91"/>
      <c r="CB40" s="68">
        <f t="shared" si="72"/>
        <v>0</v>
      </c>
      <c r="CC40" s="68">
        <f t="shared" si="59"/>
        <v>6209.34</v>
      </c>
      <c r="CD40" s="91"/>
      <c r="CE40" s="91"/>
      <c r="CF40" s="68">
        <f t="shared" si="73"/>
        <v>0</v>
      </c>
      <c r="CG40" s="68">
        <f t="shared" si="60"/>
        <v>6209.34</v>
      </c>
      <c r="CH40" s="91"/>
      <c r="CI40" s="91"/>
      <c r="CJ40" s="68">
        <f t="shared" si="74"/>
        <v>0</v>
      </c>
      <c r="CK40" s="68">
        <f t="shared" si="61"/>
        <v>6209.34</v>
      </c>
      <c r="CL40" s="91"/>
      <c r="CM40" s="91"/>
      <c r="CN40" s="68">
        <f t="shared" si="75"/>
        <v>0</v>
      </c>
      <c r="CO40" s="68">
        <f t="shared" si="62"/>
        <v>6209.34</v>
      </c>
      <c r="CP40" s="91"/>
      <c r="CQ40" s="91"/>
      <c r="CR40" s="68">
        <f t="shared" si="76"/>
        <v>0</v>
      </c>
      <c r="CS40" s="68">
        <f t="shared" si="63"/>
        <v>6209.34</v>
      </c>
      <c r="CT40" s="91"/>
      <c r="CU40" s="91"/>
      <c r="CV40" s="68">
        <f t="shared" si="77"/>
        <v>0</v>
      </c>
      <c r="CW40" s="68">
        <f t="shared" si="64"/>
        <v>6209.34</v>
      </c>
    </row>
    <row r="41" spans="1:101" x14ac:dyDescent="0.5">
      <c r="A41" s="67">
        <v>37</v>
      </c>
      <c r="B41" s="81" t="s">
        <v>60</v>
      </c>
      <c r="C41" s="67">
        <v>167</v>
      </c>
      <c r="D41" s="68">
        <f>+'กระดาษทำการ 30 เม.ย.58'!BP44</f>
        <v>0</v>
      </c>
      <c r="E41" s="68">
        <f>+'กระดาษทำการ 30 เม.ย.58'!BQ44</f>
        <v>600</v>
      </c>
      <c r="F41" s="91"/>
      <c r="G41" s="91"/>
      <c r="H41" s="68"/>
      <c r="I41" s="68">
        <f t="shared" si="67"/>
        <v>600</v>
      </c>
      <c r="J41" s="91"/>
      <c r="K41" s="91"/>
      <c r="L41" s="68"/>
      <c r="M41" s="68">
        <f t="shared" si="65"/>
        <v>600</v>
      </c>
      <c r="N41" s="91"/>
      <c r="O41" s="91"/>
      <c r="P41" s="68"/>
      <c r="Q41" s="68">
        <f t="shared" si="49"/>
        <v>600</v>
      </c>
      <c r="R41" s="91"/>
      <c r="S41" s="91"/>
      <c r="T41" s="68"/>
      <c r="U41" s="68">
        <f t="shared" si="50"/>
        <v>600</v>
      </c>
      <c r="V41" s="91"/>
      <c r="W41" s="91"/>
      <c r="X41" s="68"/>
      <c r="Y41" s="68">
        <f t="shared" si="47"/>
        <v>600</v>
      </c>
      <c r="Z41" s="91"/>
      <c r="AA41" s="91"/>
      <c r="AB41" s="68"/>
      <c r="AC41" s="68">
        <f t="shared" si="51"/>
        <v>600</v>
      </c>
      <c r="AD41" s="91"/>
      <c r="AE41" s="91"/>
      <c r="AF41" s="68"/>
      <c r="AG41" s="68">
        <f t="shared" si="52"/>
        <v>600</v>
      </c>
      <c r="AH41" s="91"/>
      <c r="AI41" s="91"/>
      <c r="AJ41" s="68"/>
      <c r="AK41" s="68">
        <f t="shared" si="46"/>
        <v>600</v>
      </c>
      <c r="AL41" s="91"/>
      <c r="AM41" s="91"/>
      <c r="AN41" s="68"/>
      <c r="AO41" s="68">
        <f t="shared" si="68"/>
        <v>600</v>
      </c>
      <c r="AP41" s="91"/>
      <c r="AQ41" s="91"/>
      <c r="AR41" s="68">
        <f t="shared" si="69"/>
        <v>0</v>
      </c>
      <c r="AS41" s="68">
        <f t="shared" si="48"/>
        <v>600</v>
      </c>
      <c r="AT41" s="91"/>
      <c r="AU41" s="91"/>
      <c r="AV41" s="68"/>
      <c r="AW41" s="68">
        <f t="shared" si="66"/>
        <v>600</v>
      </c>
      <c r="AX41" s="91"/>
      <c r="AY41" s="91"/>
      <c r="AZ41" s="152"/>
      <c r="BA41" s="152">
        <f>+AW41+AY41-AX41</f>
        <v>600</v>
      </c>
      <c r="BB41" s="91"/>
      <c r="BC41" s="91"/>
      <c r="BD41" s="68"/>
      <c r="BE41" s="68">
        <f t="shared" si="53"/>
        <v>600</v>
      </c>
      <c r="BF41" s="91"/>
      <c r="BG41" s="91"/>
      <c r="BH41" s="68"/>
      <c r="BI41" s="68">
        <f t="shared" si="54"/>
        <v>600</v>
      </c>
      <c r="BJ41" s="91"/>
      <c r="BK41" s="91"/>
      <c r="BL41" s="68"/>
      <c r="BM41" s="68">
        <f t="shared" si="55"/>
        <v>600</v>
      </c>
      <c r="BN41" s="91"/>
      <c r="BO41" s="91"/>
      <c r="BP41" s="68"/>
      <c r="BQ41" s="68">
        <f t="shared" si="56"/>
        <v>600</v>
      </c>
      <c r="BR41" s="91"/>
      <c r="BS41" s="91"/>
      <c r="BT41" s="68">
        <f t="shared" si="70"/>
        <v>0</v>
      </c>
      <c r="BU41" s="68">
        <f t="shared" si="57"/>
        <v>600</v>
      </c>
      <c r="BV41" s="91"/>
      <c r="BW41" s="91"/>
      <c r="BX41" s="68">
        <f t="shared" si="71"/>
        <v>0</v>
      </c>
      <c r="BY41" s="68">
        <f t="shared" si="58"/>
        <v>600</v>
      </c>
      <c r="BZ41" s="91"/>
      <c r="CA41" s="91"/>
      <c r="CB41" s="68">
        <f t="shared" si="72"/>
        <v>0</v>
      </c>
      <c r="CC41" s="68">
        <f t="shared" si="59"/>
        <v>600</v>
      </c>
      <c r="CD41" s="91"/>
      <c r="CE41" s="91"/>
      <c r="CF41" s="68">
        <f t="shared" si="73"/>
        <v>0</v>
      </c>
      <c r="CG41" s="68">
        <f t="shared" si="60"/>
        <v>600</v>
      </c>
      <c r="CH41" s="91"/>
      <c r="CI41" s="91"/>
      <c r="CJ41" s="68">
        <f t="shared" si="74"/>
        <v>0</v>
      </c>
      <c r="CK41" s="68">
        <f t="shared" si="61"/>
        <v>600</v>
      </c>
      <c r="CL41" s="91"/>
      <c r="CM41" s="91"/>
      <c r="CN41" s="68">
        <f t="shared" si="75"/>
        <v>0</v>
      </c>
      <c r="CO41" s="68">
        <f t="shared" si="62"/>
        <v>600</v>
      </c>
      <c r="CP41" s="91"/>
      <c r="CQ41" s="91"/>
      <c r="CR41" s="68">
        <f t="shared" si="76"/>
        <v>0</v>
      </c>
      <c r="CS41" s="68">
        <f t="shared" si="63"/>
        <v>600</v>
      </c>
      <c r="CT41" s="91"/>
      <c r="CU41" s="91"/>
      <c r="CV41" s="68">
        <f t="shared" si="77"/>
        <v>0</v>
      </c>
      <c r="CW41" s="68">
        <f t="shared" si="64"/>
        <v>600</v>
      </c>
    </row>
    <row r="42" spans="1:101" x14ac:dyDescent="0.5">
      <c r="A42" s="67">
        <v>38</v>
      </c>
      <c r="B42" s="81" t="s">
        <v>61</v>
      </c>
      <c r="C42" s="67">
        <v>171</v>
      </c>
      <c r="D42" s="68">
        <f>+'กระดาษทำการ 30 เม.ย.58'!BP45</f>
        <v>0</v>
      </c>
      <c r="E42" s="68">
        <f>+'กระดาษทำการ 30 เม.ย.58'!BQ45</f>
        <v>69060.149999999994</v>
      </c>
      <c r="F42" s="91"/>
      <c r="G42" s="91"/>
      <c r="H42" s="68"/>
      <c r="I42" s="68">
        <f t="shared" si="67"/>
        <v>69060.149999999994</v>
      </c>
      <c r="J42" s="91"/>
      <c r="K42" s="91"/>
      <c r="L42" s="68"/>
      <c r="M42" s="68">
        <f t="shared" si="65"/>
        <v>69060.149999999994</v>
      </c>
      <c r="N42" s="91"/>
      <c r="O42" s="91"/>
      <c r="P42" s="68"/>
      <c r="Q42" s="68">
        <f t="shared" si="49"/>
        <v>69060.149999999994</v>
      </c>
      <c r="R42" s="91"/>
      <c r="S42" s="91"/>
      <c r="T42" s="68"/>
      <c r="U42" s="68">
        <f t="shared" si="50"/>
        <v>69060.149999999994</v>
      </c>
      <c r="V42" s="91"/>
      <c r="W42" s="91"/>
      <c r="X42" s="68"/>
      <c r="Y42" s="68">
        <f t="shared" si="47"/>
        <v>69060.149999999994</v>
      </c>
      <c r="Z42" s="91"/>
      <c r="AA42" s="91"/>
      <c r="AB42" s="68"/>
      <c r="AC42" s="68">
        <f t="shared" si="51"/>
        <v>69060.149999999994</v>
      </c>
      <c r="AD42" s="91"/>
      <c r="AE42" s="91"/>
      <c r="AF42" s="68"/>
      <c r="AG42" s="68">
        <f t="shared" si="52"/>
        <v>69060.149999999994</v>
      </c>
      <c r="AH42" s="91"/>
      <c r="AI42" s="91"/>
      <c r="AJ42" s="68"/>
      <c r="AK42" s="68">
        <f t="shared" si="46"/>
        <v>69060.149999999994</v>
      </c>
      <c r="AL42" s="91"/>
      <c r="AM42" s="91"/>
      <c r="AN42" s="68"/>
      <c r="AO42" s="68">
        <f t="shared" si="68"/>
        <v>69060.149999999994</v>
      </c>
      <c r="AP42" s="91"/>
      <c r="AQ42" s="91"/>
      <c r="AR42" s="68">
        <f t="shared" si="69"/>
        <v>0</v>
      </c>
      <c r="AS42" s="68">
        <f t="shared" si="48"/>
        <v>69060.149999999994</v>
      </c>
      <c r="AT42" s="91"/>
      <c r="AU42" s="91"/>
      <c r="AV42" s="68"/>
      <c r="AW42" s="68">
        <f t="shared" si="66"/>
        <v>69060.149999999994</v>
      </c>
      <c r="AX42" s="91"/>
      <c r="AY42" s="91"/>
      <c r="AZ42" s="152"/>
      <c r="BA42" s="152">
        <f>+AW42+AY42-AX42</f>
        <v>69060.149999999994</v>
      </c>
      <c r="BB42" s="91"/>
      <c r="BC42" s="91"/>
      <c r="BD42" s="68"/>
      <c r="BE42" s="68">
        <f t="shared" si="53"/>
        <v>69060.149999999994</v>
      </c>
      <c r="BF42" s="91"/>
      <c r="BG42" s="91"/>
      <c r="BH42" s="68"/>
      <c r="BI42" s="68">
        <f t="shared" si="54"/>
        <v>69060.149999999994</v>
      </c>
      <c r="BJ42" s="91"/>
      <c r="BK42" s="91"/>
      <c r="BL42" s="68"/>
      <c r="BM42" s="68">
        <f t="shared" si="55"/>
        <v>69060.149999999994</v>
      </c>
      <c r="BN42" s="91"/>
      <c r="BO42" s="91"/>
      <c r="BP42" s="68"/>
      <c r="BQ42" s="68">
        <f t="shared" si="56"/>
        <v>69060.149999999994</v>
      </c>
      <c r="BR42" s="91"/>
      <c r="BS42" s="91"/>
      <c r="BT42" s="68">
        <f t="shared" si="70"/>
        <v>0</v>
      </c>
      <c r="BU42" s="68">
        <f t="shared" si="57"/>
        <v>69060.149999999994</v>
      </c>
      <c r="BV42" s="91"/>
      <c r="BW42" s="91"/>
      <c r="BX42" s="68">
        <f t="shared" si="71"/>
        <v>0</v>
      </c>
      <c r="BY42" s="68">
        <f t="shared" si="58"/>
        <v>69060.149999999994</v>
      </c>
      <c r="BZ42" s="91"/>
      <c r="CA42" s="91"/>
      <c r="CB42" s="68">
        <f t="shared" si="72"/>
        <v>0</v>
      </c>
      <c r="CC42" s="68">
        <f t="shared" si="59"/>
        <v>69060.149999999994</v>
      </c>
      <c r="CD42" s="91"/>
      <c r="CE42" s="91"/>
      <c r="CF42" s="68">
        <f t="shared" si="73"/>
        <v>0</v>
      </c>
      <c r="CG42" s="68">
        <f t="shared" si="60"/>
        <v>69060.149999999994</v>
      </c>
      <c r="CH42" s="91"/>
      <c r="CI42" s="91"/>
      <c r="CJ42" s="68">
        <f t="shared" si="74"/>
        <v>0</v>
      </c>
      <c r="CK42" s="68">
        <f t="shared" si="61"/>
        <v>69060.149999999994</v>
      </c>
      <c r="CL42" s="91"/>
      <c r="CM42" s="91"/>
      <c r="CN42" s="68">
        <f t="shared" si="75"/>
        <v>0</v>
      </c>
      <c r="CO42" s="68">
        <f t="shared" si="62"/>
        <v>69060.149999999994</v>
      </c>
      <c r="CP42" s="91"/>
      <c r="CQ42" s="91"/>
      <c r="CR42" s="68">
        <f t="shared" si="76"/>
        <v>0</v>
      </c>
      <c r="CS42" s="68">
        <f t="shared" si="63"/>
        <v>69060.149999999994</v>
      </c>
      <c r="CT42" s="91"/>
      <c r="CU42" s="91"/>
      <c r="CV42" s="68">
        <f t="shared" si="77"/>
        <v>0</v>
      </c>
      <c r="CW42" s="68">
        <f t="shared" si="64"/>
        <v>69060.149999999994</v>
      </c>
    </row>
    <row r="43" spans="1:101" ht="24" x14ac:dyDescent="0.55000000000000004">
      <c r="A43" s="67">
        <v>39</v>
      </c>
      <c r="B43" s="83" t="s">
        <v>83</v>
      </c>
      <c r="C43" s="67"/>
      <c r="D43" s="68">
        <f>+'กระดาษทำการ 30 เม.ย.58'!BP47</f>
        <v>0</v>
      </c>
      <c r="E43" s="68">
        <f>+'กระดาษทำการ 30 เม.ย.58'!BQ47</f>
        <v>0</v>
      </c>
      <c r="F43" s="91"/>
      <c r="G43" s="91"/>
      <c r="H43" s="68"/>
      <c r="I43" s="68">
        <f t="shared" si="67"/>
        <v>0</v>
      </c>
      <c r="J43" s="119"/>
      <c r="K43" s="119">
        <f>7370+7370</f>
        <v>14740</v>
      </c>
      <c r="L43" s="68"/>
      <c r="M43" s="68">
        <f t="shared" si="65"/>
        <v>14740</v>
      </c>
      <c r="N43" s="119"/>
      <c r="O43" s="119">
        <f>7370+7370</f>
        <v>14740</v>
      </c>
      <c r="P43" s="68"/>
      <c r="Q43" s="68">
        <f t="shared" si="49"/>
        <v>29480</v>
      </c>
      <c r="R43" s="91"/>
      <c r="S43" s="91"/>
      <c r="T43" s="68"/>
      <c r="U43" s="68">
        <f t="shared" si="50"/>
        <v>29480</v>
      </c>
      <c r="V43" s="92"/>
      <c r="W43" s="92">
        <f>7370+7370</f>
        <v>14740</v>
      </c>
      <c r="X43" s="68"/>
      <c r="Y43" s="68">
        <f t="shared" si="47"/>
        <v>44220</v>
      </c>
      <c r="Z43" s="91"/>
      <c r="AA43" s="91">
        <v>7370</v>
      </c>
      <c r="AB43" s="68"/>
      <c r="AC43" s="68">
        <f t="shared" si="51"/>
        <v>51590</v>
      </c>
      <c r="AD43" s="91"/>
      <c r="AE43" s="91"/>
      <c r="AF43" s="68"/>
      <c r="AG43" s="68">
        <f t="shared" si="52"/>
        <v>51590</v>
      </c>
      <c r="AH43" s="91"/>
      <c r="AI43" s="91"/>
      <c r="AJ43" s="68"/>
      <c r="AK43" s="68">
        <f t="shared" si="46"/>
        <v>51590</v>
      </c>
      <c r="AL43" s="91"/>
      <c r="AM43" s="91"/>
      <c r="AN43" s="68"/>
      <c r="AO43" s="68">
        <f t="shared" si="68"/>
        <v>51590</v>
      </c>
      <c r="AP43" s="91"/>
      <c r="AQ43" s="91"/>
      <c r="AR43" s="68">
        <f t="shared" si="69"/>
        <v>0</v>
      </c>
      <c r="AS43" s="68">
        <f t="shared" si="48"/>
        <v>51590</v>
      </c>
      <c r="AT43" s="91"/>
      <c r="AU43" s="91"/>
      <c r="AV43" s="68"/>
      <c r="AW43" s="68">
        <f t="shared" si="66"/>
        <v>51590</v>
      </c>
      <c r="AX43" s="91"/>
      <c r="AY43" s="91"/>
      <c r="AZ43" s="152"/>
      <c r="BA43" s="152">
        <v>0</v>
      </c>
      <c r="BB43" s="91"/>
      <c r="BC43" s="91"/>
      <c r="BD43" s="68"/>
      <c r="BE43" s="68">
        <f t="shared" si="53"/>
        <v>0</v>
      </c>
      <c r="BF43" s="91"/>
      <c r="BG43" s="91"/>
      <c r="BH43" s="68"/>
      <c r="BI43" s="68">
        <f t="shared" si="54"/>
        <v>0</v>
      </c>
      <c r="BJ43" s="91"/>
      <c r="BK43" s="91"/>
      <c r="BL43" s="68"/>
      <c r="BM43" s="68">
        <f t="shared" si="55"/>
        <v>0</v>
      </c>
      <c r="BN43" s="91"/>
      <c r="BO43" s="91"/>
      <c r="BP43" s="68"/>
      <c r="BQ43" s="68">
        <f t="shared" si="56"/>
        <v>0</v>
      </c>
      <c r="BR43" s="91"/>
      <c r="BS43" s="91"/>
      <c r="BT43" s="68">
        <f t="shared" si="70"/>
        <v>0</v>
      </c>
      <c r="BU43" s="68">
        <f t="shared" si="57"/>
        <v>0</v>
      </c>
      <c r="BV43" s="91"/>
      <c r="BW43" s="91"/>
      <c r="BX43" s="68">
        <f t="shared" si="71"/>
        <v>0</v>
      </c>
      <c r="BY43" s="68">
        <f t="shared" si="58"/>
        <v>0</v>
      </c>
      <c r="BZ43" s="91"/>
      <c r="CA43" s="91"/>
      <c r="CB43" s="68">
        <f t="shared" si="72"/>
        <v>0</v>
      </c>
      <c r="CC43" s="68">
        <f t="shared" si="59"/>
        <v>0</v>
      </c>
      <c r="CD43" s="91"/>
      <c r="CE43" s="91"/>
      <c r="CF43" s="68">
        <f t="shared" si="73"/>
        <v>0</v>
      </c>
      <c r="CG43" s="68">
        <f t="shared" si="60"/>
        <v>0</v>
      </c>
      <c r="CH43" s="91"/>
      <c r="CI43" s="91"/>
      <c r="CJ43" s="68">
        <f t="shared" si="74"/>
        <v>0</v>
      </c>
      <c r="CK43" s="68">
        <f t="shared" si="61"/>
        <v>0</v>
      </c>
      <c r="CL43" s="91"/>
      <c r="CM43" s="91"/>
      <c r="CN43" s="68">
        <f t="shared" si="75"/>
        <v>0</v>
      </c>
      <c r="CO43" s="68">
        <f t="shared" si="62"/>
        <v>0</v>
      </c>
      <c r="CP43" s="91"/>
      <c r="CQ43" s="91"/>
      <c r="CR43" s="68">
        <f t="shared" si="76"/>
        <v>0</v>
      </c>
      <c r="CS43" s="68">
        <f t="shared" si="63"/>
        <v>0</v>
      </c>
      <c r="CT43" s="91"/>
      <c r="CU43" s="91"/>
      <c r="CV43" s="68">
        <f t="shared" si="77"/>
        <v>0</v>
      </c>
      <c r="CW43" s="68">
        <f t="shared" si="64"/>
        <v>0</v>
      </c>
    </row>
    <row r="44" spans="1:101" x14ac:dyDescent="0.5">
      <c r="A44" s="67">
        <v>40</v>
      </c>
      <c r="B44" s="83" t="s">
        <v>165</v>
      </c>
      <c r="C44" s="67"/>
      <c r="D44" s="68">
        <f>+'กระดาษทำการ 30 เม.ย.58'!BP46</f>
        <v>0</v>
      </c>
      <c r="E44" s="68">
        <f>+'กระดาษทำการ 30 เม.ย.58'!BQ46</f>
        <v>0</v>
      </c>
      <c r="F44" s="91"/>
      <c r="G44" s="91"/>
      <c r="H44" s="68"/>
      <c r="I44" s="68">
        <f t="shared" si="67"/>
        <v>0</v>
      </c>
      <c r="J44" s="91"/>
      <c r="K44" s="91"/>
      <c r="L44" s="68"/>
      <c r="M44" s="68">
        <f t="shared" si="65"/>
        <v>0</v>
      </c>
      <c r="N44" s="91"/>
      <c r="O44" s="91"/>
      <c r="P44" s="68"/>
      <c r="Q44" s="68">
        <f t="shared" si="49"/>
        <v>0</v>
      </c>
      <c r="R44" s="91"/>
      <c r="S44" s="91"/>
      <c r="T44" s="68"/>
      <c r="U44" s="68">
        <f t="shared" si="50"/>
        <v>0</v>
      </c>
      <c r="V44" s="91"/>
      <c r="W44" s="91"/>
      <c r="X44" s="68"/>
      <c r="Y44" s="68">
        <f t="shared" si="47"/>
        <v>0</v>
      </c>
      <c r="Z44" s="91"/>
      <c r="AA44" s="91"/>
      <c r="AB44" s="68"/>
      <c r="AC44" s="68">
        <f t="shared" si="51"/>
        <v>0</v>
      </c>
      <c r="AD44" s="91"/>
      <c r="AE44" s="91"/>
      <c r="AF44" s="68"/>
      <c r="AG44" s="68">
        <f t="shared" si="52"/>
        <v>0</v>
      </c>
      <c r="AH44" s="91"/>
      <c r="AI44" s="91"/>
      <c r="AJ44" s="68"/>
      <c r="AK44" s="68">
        <f t="shared" si="46"/>
        <v>0</v>
      </c>
      <c r="AL44" s="91"/>
      <c r="AM44" s="91"/>
      <c r="AN44" s="68"/>
      <c r="AO44" s="68">
        <f t="shared" si="68"/>
        <v>0</v>
      </c>
      <c r="AP44" s="91"/>
      <c r="AQ44" s="91">
        <f>11280+11280+11280</f>
        <v>33840</v>
      </c>
      <c r="AR44" s="68">
        <v>0</v>
      </c>
      <c r="AS44" s="68">
        <f t="shared" si="48"/>
        <v>33840</v>
      </c>
      <c r="AT44" s="91"/>
      <c r="AU44" s="91"/>
      <c r="AV44" s="68"/>
      <c r="AW44" s="68">
        <f t="shared" si="66"/>
        <v>33840</v>
      </c>
      <c r="AX44" s="91"/>
      <c r="AY44" s="91">
        <v>11280</v>
      </c>
      <c r="AZ44" s="152"/>
      <c r="BA44" s="152">
        <v>0</v>
      </c>
      <c r="BB44" s="91"/>
      <c r="BC44" s="91"/>
      <c r="BD44" s="68"/>
      <c r="BE44" s="68">
        <f t="shared" si="53"/>
        <v>0</v>
      </c>
      <c r="BF44" s="91">
        <v>56400</v>
      </c>
      <c r="BG44" s="91">
        <v>56400</v>
      </c>
      <c r="BH44" s="68"/>
      <c r="BI44" s="68">
        <f t="shared" si="54"/>
        <v>0</v>
      </c>
      <c r="BJ44" s="91"/>
      <c r="BK44" s="91">
        <v>56400</v>
      </c>
      <c r="BL44" s="68"/>
      <c r="BM44" s="68">
        <f t="shared" si="55"/>
        <v>56400</v>
      </c>
      <c r="BN44" s="91"/>
      <c r="BO44" s="91"/>
      <c r="BP44" s="68"/>
      <c r="BQ44" s="68">
        <f t="shared" si="56"/>
        <v>56400</v>
      </c>
      <c r="BR44" s="91"/>
      <c r="BS44" s="91"/>
      <c r="BT44" s="68">
        <f t="shared" si="70"/>
        <v>0</v>
      </c>
      <c r="BU44" s="68">
        <f t="shared" si="57"/>
        <v>56400</v>
      </c>
      <c r="BV44" s="91"/>
      <c r="BW44" s="91"/>
      <c r="BX44" s="68">
        <f t="shared" si="71"/>
        <v>0</v>
      </c>
      <c r="BY44" s="68">
        <f t="shared" si="58"/>
        <v>56400</v>
      </c>
      <c r="BZ44" s="91"/>
      <c r="CA44" s="91"/>
      <c r="CB44" s="68">
        <f t="shared" si="72"/>
        <v>0</v>
      </c>
      <c r="CC44" s="68">
        <f t="shared" si="59"/>
        <v>56400</v>
      </c>
      <c r="CD44" s="91"/>
      <c r="CE44" s="91"/>
      <c r="CF44" s="68">
        <f t="shared" si="73"/>
        <v>0</v>
      </c>
      <c r="CG44" s="68">
        <f t="shared" si="60"/>
        <v>56400</v>
      </c>
      <c r="CH44" s="91"/>
      <c r="CI44" s="91"/>
      <c r="CJ44" s="68">
        <f t="shared" si="74"/>
        <v>0</v>
      </c>
      <c r="CK44" s="68">
        <f t="shared" si="61"/>
        <v>56400</v>
      </c>
      <c r="CL44" s="91"/>
      <c r="CM44" s="91"/>
      <c r="CN44" s="68">
        <f t="shared" si="75"/>
        <v>0</v>
      </c>
      <c r="CO44" s="68">
        <f t="shared" si="62"/>
        <v>56400</v>
      </c>
      <c r="CP44" s="91"/>
      <c r="CQ44" s="91"/>
      <c r="CR44" s="68">
        <f t="shared" si="76"/>
        <v>0</v>
      </c>
      <c r="CS44" s="68">
        <f t="shared" si="63"/>
        <v>56400</v>
      </c>
      <c r="CT44" s="91"/>
      <c r="CU44" s="91"/>
      <c r="CV44" s="68">
        <f t="shared" si="77"/>
        <v>0</v>
      </c>
      <c r="CW44" s="68">
        <f t="shared" si="64"/>
        <v>56400</v>
      </c>
    </row>
    <row r="45" spans="1:101" x14ac:dyDescent="0.5">
      <c r="A45" s="67">
        <v>41</v>
      </c>
      <c r="B45" s="83" t="s">
        <v>186</v>
      </c>
      <c r="C45" s="67"/>
      <c r="D45" s="68"/>
      <c r="E45" s="68"/>
      <c r="F45" s="91"/>
      <c r="G45" s="91"/>
      <c r="H45" s="68"/>
      <c r="I45" s="68"/>
      <c r="J45" s="91"/>
      <c r="K45" s="91"/>
      <c r="L45" s="68"/>
      <c r="M45" s="68"/>
      <c r="N45" s="91"/>
      <c r="O45" s="91"/>
      <c r="P45" s="68"/>
      <c r="Q45" s="68"/>
      <c r="R45" s="91"/>
      <c r="S45" s="91"/>
      <c r="T45" s="68"/>
      <c r="U45" s="68"/>
      <c r="V45" s="91"/>
      <c r="W45" s="91"/>
      <c r="X45" s="68"/>
      <c r="Y45" s="68"/>
      <c r="Z45" s="91"/>
      <c r="AA45" s="91"/>
      <c r="AB45" s="68"/>
      <c r="AC45" s="68"/>
      <c r="AD45" s="91"/>
      <c r="AE45" s="91"/>
      <c r="AF45" s="68"/>
      <c r="AG45" s="68"/>
      <c r="AH45" s="91"/>
      <c r="AI45" s="91"/>
      <c r="AJ45" s="68"/>
      <c r="AK45" s="68"/>
      <c r="AL45" s="91"/>
      <c r="AM45" s="91"/>
      <c r="AN45" s="68"/>
      <c r="AO45" s="68"/>
      <c r="AP45" s="91"/>
      <c r="AQ45" s="91"/>
      <c r="AR45" s="68"/>
      <c r="AS45" s="68"/>
      <c r="AT45" s="91"/>
      <c r="AU45" s="91"/>
      <c r="AV45" s="68"/>
      <c r="AW45" s="68"/>
      <c r="AX45" s="91"/>
      <c r="AY45" s="91"/>
      <c r="AZ45" s="152">
        <v>11280</v>
      </c>
      <c r="BA45" s="152"/>
      <c r="BB45" s="91"/>
      <c r="BC45" s="91"/>
      <c r="BD45" s="68">
        <f>AZ45</f>
        <v>11280</v>
      </c>
      <c r="BE45" s="68">
        <f t="shared" si="53"/>
        <v>0</v>
      </c>
      <c r="BF45" s="91"/>
      <c r="BG45" s="91"/>
      <c r="BH45" s="68">
        <f>BD45</f>
        <v>11280</v>
      </c>
      <c r="BI45" s="68">
        <f t="shared" si="54"/>
        <v>0</v>
      </c>
      <c r="BJ45" s="91"/>
      <c r="BK45" s="91"/>
      <c r="BL45" s="68">
        <f>BH45</f>
        <v>11280</v>
      </c>
      <c r="BM45" s="68"/>
      <c r="BN45" s="91"/>
      <c r="BO45" s="91"/>
      <c r="BP45" s="68">
        <f>BL45</f>
        <v>11280</v>
      </c>
      <c r="BQ45" s="68"/>
      <c r="BR45" s="91"/>
      <c r="BS45" s="91"/>
      <c r="BT45" s="68">
        <f>BP45</f>
        <v>11280</v>
      </c>
      <c r="BU45" s="68"/>
      <c r="BV45" s="91"/>
      <c r="BW45" s="91"/>
      <c r="BX45" s="68">
        <f t="shared" si="71"/>
        <v>11280</v>
      </c>
      <c r="BY45" s="68"/>
      <c r="BZ45" s="91"/>
      <c r="CA45" s="91"/>
      <c r="CB45" s="68">
        <f t="shared" si="72"/>
        <v>11280</v>
      </c>
      <c r="CC45" s="68"/>
      <c r="CD45" s="91"/>
      <c r="CE45" s="91"/>
      <c r="CF45" s="68">
        <f t="shared" si="73"/>
        <v>11280</v>
      </c>
      <c r="CG45" s="68"/>
      <c r="CH45" s="91"/>
      <c r="CI45" s="91"/>
      <c r="CJ45" s="68">
        <f t="shared" si="74"/>
        <v>11280</v>
      </c>
      <c r="CK45" s="68"/>
      <c r="CL45" s="91"/>
      <c r="CM45" s="91"/>
      <c r="CN45" s="68">
        <f t="shared" si="75"/>
        <v>11280</v>
      </c>
      <c r="CO45" s="68"/>
      <c r="CP45" s="91"/>
      <c r="CQ45" s="91"/>
      <c r="CR45" s="68">
        <f t="shared" si="76"/>
        <v>11280</v>
      </c>
      <c r="CS45" s="68"/>
      <c r="CT45" s="91"/>
      <c r="CU45" s="91"/>
      <c r="CV45" s="68">
        <f t="shared" si="77"/>
        <v>11280</v>
      </c>
      <c r="CW45" s="68"/>
    </row>
    <row r="46" spans="1:101" x14ac:dyDescent="0.5">
      <c r="A46" s="67">
        <v>42</v>
      </c>
      <c r="B46" s="84" t="s">
        <v>63</v>
      </c>
      <c r="C46" s="67">
        <v>177</v>
      </c>
      <c r="D46" s="68">
        <f>+'กระดาษทำการ 30 เม.ย.58'!BP48</f>
        <v>0</v>
      </c>
      <c r="E46" s="68">
        <f>+'กระดาษทำการ 30 เม.ย.58'!BQ48</f>
        <v>200000</v>
      </c>
      <c r="F46" s="91"/>
      <c r="G46" s="91"/>
      <c r="H46" s="68"/>
      <c r="I46" s="68">
        <f>+E46</f>
        <v>200000</v>
      </c>
      <c r="J46" s="91"/>
      <c r="K46" s="91"/>
      <c r="L46" s="68"/>
      <c r="M46" s="68">
        <f t="shared" ref="M46:M57" si="78">+I46-J46+K46</f>
        <v>200000</v>
      </c>
      <c r="N46" s="91"/>
      <c r="O46" s="91"/>
      <c r="P46" s="68"/>
      <c r="Q46" s="68">
        <f t="shared" ref="Q46:Q58" si="79">+M46+O46-N46</f>
        <v>200000</v>
      </c>
      <c r="R46" s="91"/>
      <c r="S46" s="91"/>
      <c r="T46" s="68"/>
      <c r="U46" s="68">
        <f t="shared" ref="U46:U58" si="80">+Q46+S46-R46</f>
        <v>200000</v>
      </c>
      <c r="V46" s="91"/>
      <c r="W46" s="91"/>
      <c r="X46" s="68"/>
      <c r="Y46" s="68">
        <f t="shared" ref="Y46:Y58" si="81">+U46+W46-V46</f>
        <v>200000</v>
      </c>
      <c r="Z46" s="91"/>
      <c r="AA46" s="91"/>
      <c r="AB46" s="68"/>
      <c r="AC46" s="68">
        <f t="shared" ref="AC46:AC58" si="82">+Y46+AA46-Z46</f>
        <v>200000</v>
      </c>
      <c r="AD46" s="91"/>
      <c r="AE46" s="91"/>
      <c r="AF46" s="68"/>
      <c r="AG46" s="68">
        <f t="shared" ref="AG46:AG58" si="83">+AC46+AE46-AD46</f>
        <v>200000</v>
      </c>
      <c r="AH46" s="91"/>
      <c r="AI46" s="91"/>
      <c r="AJ46" s="68"/>
      <c r="AK46" s="68">
        <f t="shared" ref="AK46:AK58" si="84">+AG46+AI46-AH46</f>
        <v>200000</v>
      </c>
      <c r="AL46" s="91"/>
      <c r="AM46" s="91"/>
      <c r="AN46" s="68"/>
      <c r="AO46" s="68">
        <f>+AK46</f>
        <v>200000</v>
      </c>
      <c r="AP46" s="91"/>
      <c r="AQ46" s="91"/>
      <c r="AR46" s="68">
        <f>+AN46+AP46-AQ46</f>
        <v>0</v>
      </c>
      <c r="AS46" s="68">
        <f t="shared" ref="AS46:AS58" si="85">+AO46+AQ46-AP46</f>
        <v>200000</v>
      </c>
      <c r="AT46" s="91"/>
      <c r="AU46" s="91"/>
      <c r="AV46" s="68"/>
      <c r="AW46" s="68">
        <f t="shared" ref="AW46:AW58" si="86">+AS46+AU46-AT46</f>
        <v>200000</v>
      </c>
      <c r="AX46" s="91"/>
      <c r="AY46" s="91"/>
      <c r="AZ46" s="152"/>
      <c r="BA46" s="152">
        <f>+AW46+AY46-AX46</f>
        <v>200000</v>
      </c>
      <c r="BB46" s="91"/>
      <c r="BC46" s="91"/>
      <c r="BD46" s="68"/>
      <c r="BE46" s="68">
        <f t="shared" si="53"/>
        <v>200000</v>
      </c>
      <c r="BF46" s="91"/>
      <c r="BG46" s="91"/>
      <c r="BH46" s="68"/>
      <c r="BI46" s="68">
        <f t="shared" si="54"/>
        <v>200000</v>
      </c>
      <c r="BJ46" s="91"/>
      <c r="BK46" s="91"/>
      <c r="BL46" s="68"/>
      <c r="BM46" s="68">
        <f t="shared" ref="BM46:BM58" si="87">+BI46+BK46-BJ46</f>
        <v>200000</v>
      </c>
      <c r="BN46" s="91"/>
      <c r="BO46" s="91"/>
      <c r="BP46" s="68"/>
      <c r="BQ46" s="68">
        <f t="shared" ref="BQ46:BQ58" si="88">+BM46+BO46-BN46</f>
        <v>200000</v>
      </c>
      <c r="BR46" s="91"/>
      <c r="BS46" s="91"/>
      <c r="BT46" s="68">
        <f>BP46+BR46-BS46</f>
        <v>0</v>
      </c>
      <c r="BU46" s="68">
        <f t="shared" ref="BU46:BU58" si="89">+BQ46+BS46-BR46</f>
        <v>200000</v>
      </c>
      <c r="BV46" s="91"/>
      <c r="BW46" s="91"/>
      <c r="BX46" s="68">
        <f t="shared" si="71"/>
        <v>0</v>
      </c>
      <c r="BY46" s="68">
        <f t="shared" ref="BY46:BY58" si="90">+BU46+BW46-BV46</f>
        <v>200000</v>
      </c>
      <c r="BZ46" s="91"/>
      <c r="CA46" s="91"/>
      <c r="CB46" s="68">
        <f t="shared" si="72"/>
        <v>0</v>
      </c>
      <c r="CC46" s="68">
        <f t="shared" ref="CC46:CC58" si="91">+BY46+CA46-BZ46</f>
        <v>200000</v>
      </c>
      <c r="CD46" s="91"/>
      <c r="CE46" s="91"/>
      <c r="CF46" s="68">
        <f t="shared" si="73"/>
        <v>0</v>
      </c>
      <c r="CG46" s="68">
        <f t="shared" ref="CG46:CG58" si="92">+CC46+CE46-CD46</f>
        <v>200000</v>
      </c>
      <c r="CH46" s="91"/>
      <c r="CI46" s="91"/>
      <c r="CJ46" s="68">
        <f t="shared" si="74"/>
        <v>0</v>
      </c>
      <c r="CK46" s="68">
        <f t="shared" ref="CK46:CK58" si="93">+CG46+CI46-CH46</f>
        <v>200000</v>
      </c>
      <c r="CL46" s="91"/>
      <c r="CM46" s="91"/>
      <c r="CN46" s="68">
        <f t="shared" si="75"/>
        <v>0</v>
      </c>
      <c r="CO46" s="68">
        <f t="shared" ref="CO46:CO58" si="94">+CK46+CM46-CL46</f>
        <v>200000</v>
      </c>
      <c r="CP46" s="91"/>
      <c r="CQ46" s="91"/>
      <c r="CR46" s="68">
        <f t="shared" si="76"/>
        <v>0</v>
      </c>
      <c r="CS46" s="68">
        <f t="shared" ref="CS46:CS58" si="95">+CO46+CQ46-CP46</f>
        <v>200000</v>
      </c>
      <c r="CT46" s="91"/>
      <c r="CU46" s="91"/>
      <c r="CV46" s="68">
        <f t="shared" si="77"/>
        <v>0</v>
      </c>
      <c r="CW46" s="68">
        <f t="shared" ref="CW46:CW53" si="96">+CS46+CU46-CT46</f>
        <v>200000</v>
      </c>
    </row>
    <row r="47" spans="1:101" x14ac:dyDescent="0.5">
      <c r="A47" s="67">
        <v>43</v>
      </c>
      <c r="B47" s="84" t="s">
        <v>108</v>
      </c>
      <c r="C47" s="67"/>
      <c r="D47" s="68">
        <f>+'กระดาษทำการ 30 เม.ย.58'!BP49</f>
        <v>0</v>
      </c>
      <c r="E47" s="68">
        <f>+'กระดาษทำการ 30 เม.ย.58'!BQ49</f>
        <v>50000</v>
      </c>
      <c r="F47" s="91"/>
      <c r="G47" s="91"/>
      <c r="H47" s="68"/>
      <c r="I47" s="68">
        <f>+E47</f>
        <v>50000</v>
      </c>
      <c r="J47" s="91"/>
      <c r="K47" s="91"/>
      <c r="L47" s="68"/>
      <c r="M47" s="68">
        <f t="shared" si="78"/>
        <v>50000</v>
      </c>
      <c r="N47" s="91"/>
      <c r="O47" s="91"/>
      <c r="P47" s="68"/>
      <c r="Q47" s="68">
        <f t="shared" si="79"/>
        <v>50000</v>
      </c>
      <c r="R47" s="91"/>
      <c r="S47" s="91"/>
      <c r="T47" s="68"/>
      <c r="U47" s="68">
        <f t="shared" si="80"/>
        <v>50000</v>
      </c>
      <c r="V47" s="91"/>
      <c r="W47" s="91"/>
      <c r="X47" s="68"/>
      <c r="Y47" s="68">
        <f t="shared" si="81"/>
        <v>50000</v>
      </c>
      <c r="Z47" s="91"/>
      <c r="AA47" s="91"/>
      <c r="AB47" s="68"/>
      <c r="AC47" s="68">
        <f t="shared" si="82"/>
        <v>50000</v>
      </c>
      <c r="AD47" s="91"/>
      <c r="AE47" s="91"/>
      <c r="AF47" s="68"/>
      <c r="AG47" s="68">
        <f t="shared" si="83"/>
        <v>50000</v>
      </c>
      <c r="AH47" s="91"/>
      <c r="AI47" s="91"/>
      <c r="AJ47" s="68"/>
      <c r="AK47" s="68">
        <f t="shared" si="84"/>
        <v>50000</v>
      </c>
      <c r="AL47" s="91"/>
      <c r="AM47" s="91"/>
      <c r="AN47" s="68"/>
      <c r="AO47" s="68">
        <f>+AK47</f>
        <v>50000</v>
      </c>
      <c r="AP47" s="91"/>
      <c r="AQ47" s="91"/>
      <c r="AR47" s="68">
        <f>+AN47+AP47-AQ47</f>
        <v>0</v>
      </c>
      <c r="AS47" s="68">
        <f t="shared" si="85"/>
        <v>50000</v>
      </c>
      <c r="AT47" s="91"/>
      <c r="AU47" s="91"/>
      <c r="AV47" s="68"/>
      <c r="AW47" s="68">
        <f t="shared" si="86"/>
        <v>50000</v>
      </c>
      <c r="AX47" s="91"/>
      <c r="AY47" s="91"/>
      <c r="AZ47" s="152"/>
      <c r="BA47" s="152">
        <f>+AW47+AY47-AX47</f>
        <v>50000</v>
      </c>
      <c r="BB47" s="91"/>
      <c r="BC47" s="91"/>
      <c r="BD47" s="68"/>
      <c r="BE47" s="68">
        <f t="shared" si="53"/>
        <v>50000</v>
      </c>
      <c r="BF47" s="91"/>
      <c r="BG47" s="91"/>
      <c r="BH47" s="68"/>
      <c r="BI47" s="68">
        <f t="shared" si="54"/>
        <v>50000</v>
      </c>
      <c r="BJ47" s="91"/>
      <c r="BK47" s="91"/>
      <c r="BL47" s="68"/>
      <c r="BM47" s="68">
        <f t="shared" si="87"/>
        <v>50000</v>
      </c>
      <c r="BN47" s="91"/>
      <c r="BO47" s="91"/>
      <c r="BP47" s="68"/>
      <c r="BQ47" s="68">
        <f t="shared" si="88"/>
        <v>50000</v>
      </c>
      <c r="BR47" s="91"/>
      <c r="BS47" s="91"/>
      <c r="BT47" s="68">
        <f>BP47+BR47-BS47</f>
        <v>0</v>
      </c>
      <c r="BU47" s="68">
        <f t="shared" si="89"/>
        <v>50000</v>
      </c>
      <c r="BV47" s="91"/>
      <c r="BW47" s="91"/>
      <c r="BX47" s="68">
        <f t="shared" si="71"/>
        <v>0</v>
      </c>
      <c r="BY47" s="68">
        <f t="shared" si="90"/>
        <v>50000</v>
      </c>
      <c r="BZ47" s="91"/>
      <c r="CA47" s="91"/>
      <c r="CB47" s="68">
        <f t="shared" si="72"/>
        <v>0</v>
      </c>
      <c r="CC47" s="68">
        <f t="shared" si="91"/>
        <v>50000</v>
      </c>
      <c r="CD47" s="91"/>
      <c r="CE47" s="91"/>
      <c r="CF47" s="68">
        <f t="shared" si="73"/>
        <v>0</v>
      </c>
      <c r="CG47" s="68">
        <f t="shared" si="92"/>
        <v>50000</v>
      </c>
      <c r="CH47" s="91"/>
      <c r="CI47" s="91"/>
      <c r="CJ47" s="68">
        <f t="shared" si="74"/>
        <v>0</v>
      </c>
      <c r="CK47" s="68">
        <f t="shared" si="93"/>
        <v>50000</v>
      </c>
      <c r="CL47" s="91"/>
      <c r="CM47" s="91"/>
      <c r="CN47" s="68">
        <f t="shared" si="75"/>
        <v>0</v>
      </c>
      <c r="CO47" s="68">
        <f t="shared" si="94"/>
        <v>50000</v>
      </c>
      <c r="CP47" s="91"/>
      <c r="CQ47" s="91"/>
      <c r="CR47" s="68">
        <f t="shared" si="76"/>
        <v>0</v>
      </c>
      <c r="CS47" s="68">
        <f t="shared" si="95"/>
        <v>50000</v>
      </c>
      <c r="CT47" s="91"/>
      <c r="CU47" s="91"/>
      <c r="CV47" s="68">
        <f t="shared" si="77"/>
        <v>0</v>
      </c>
      <c r="CW47" s="68">
        <f t="shared" si="96"/>
        <v>50000</v>
      </c>
    </row>
    <row r="48" spans="1:101" x14ac:dyDescent="0.5">
      <c r="A48" s="67">
        <v>44</v>
      </c>
      <c r="B48" s="81" t="s">
        <v>64</v>
      </c>
      <c r="C48" s="67">
        <v>181</v>
      </c>
      <c r="D48" s="68">
        <f>+'กระดาษทำการ 30 เม.ย.58'!BP50</f>
        <v>0</v>
      </c>
      <c r="E48" s="68">
        <f>+'กระดาษทำการ 30 เม.ย.58'!BQ50</f>
        <v>3528929</v>
      </c>
      <c r="F48" s="91"/>
      <c r="G48" s="91"/>
      <c r="H48" s="68"/>
      <c r="I48" s="68">
        <f>+E48</f>
        <v>3528929</v>
      </c>
      <c r="J48" s="91"/>
      <c r="K48" s="91"/>
      <c r="L48" s="68"/>
      <c r="M48" s="68">
        <f t="shared" si="78"/>
        <v>3528929</v>
      </c>
      <c r="N48" s="91"/>
      <c r="O48" s="91"/>
      <c r="P48" s="68"/>
      <c r="Q48" s="68">
        <f t="shared" si="79"/>
        <v>3528929</v>
      </c>
      <c r="R48" s="91"/>
      <c r="S48" s="91"/>
      <c r="T48" s="68"/>
      <c r="U48" s="68">
        <f t="shared" si="80"/>
        <v>3528929</v>
      </c>
      <c r="V48" s="91"/>
      <c r="W48" s="91"/>
      <c r="X48" s="68"/>
      <c r="Y48" s="68">
        <f t="shared" si="81"/>
        <v>3528929</v>
      </c>
      <c r="Z48" s="91"/>
      <c r="AA48" s="91"/>
      <c r="AB48" s="68"/>
      <c r="AC48" s="68">
        <f t="shared" si="82"/>
        <v>3528929</v>
      </c>
      <c r="AD48" s="91"/>
      <c r="AE48" s="91"/>
      <c r="AF48" s="68"/>
      <c r="AG48" s="68">
        <f t="shared" si="83"/>
        <v>3528929</v>
      </c>
      <c r="AH48" s="91"/>
      <c r="AI48" s="91"/>
      <c r="AJ48" s="68"/>
      <c r="AK48" s="68">
        <f t="shared" si="84"/>
        <v>3528929</v>
      </c>
      <c r="AL48" s="91"/>
      <c r="AM48" s="91"/>
      <c r="AN48" s="68"/>
      <c r="AO48" s="68">
        <f>+AK48</f>
        <v>3528929</v>
      </c>
      <c r="AP48" s="91"/>
      <c r="AQ48" s="91"/>
      <c r="AR48" s="68">
        <f>+AN48+AP48-AQ48</f>
        <v>0</v>
      </c>
      <c r="AS48" s="68">
        <f t="shared" si="85"/>
        <v>3528929</v>
      </c>
      <c r="AT48" s="91"/>
      <c r="AU48" s="91"/>
      <c r="AV48" s="68"/>
      <c r="AW48" s="68">
        <f t="shared" si="86"/>
        <v>3528929</v>
      </c>
      <c r="AX48" s="91"/>
      <c r="AY48" s="91"/>
      <c r="AZ48" s="152"/>
      <c r="BA48" s="152">
        <f>+AW48+AY48-AX48</f>
        <v>3528929</v>
      </c>
      <c r="BB48" s="91"/>
      <c r="BC48" s="91"/>
      <c r="BD48" s="68"/>
      <c r="BE48" s="68">
        <f t="shared" si="53"/>
        <v>3528929</v>
      </c>
      <c r="BF48" s="91"/>
      <c r="BG48" s="91"/>
      <c r="BH48" s="68"/>
      <c r="BI48" s="68">
        <f t="shared" si="54"/>
        <v>3528929</v>
      </c>
      <c r="BJ48" s="91"/>
      <c r="BK48" s="91"/>
      <c r="BL48" s="68"/>
      <c r="BM48" s="68">
        <f t="shared" si="87"/>
        <v>3528929</v>
      </c>
      <c r="BN48" s="91"/>
      <c r="BO48" s="91"/>
      <c r="BP48" s="68"/>
      <c r="BQ48" s="68">
        <f t="shared" si="88"/>
        <v>3528929</v>
      </c>
      <c r="BR48" s="91"/>
      <c r="BS48" s="91"/>
      <c r="BT48" s="68">
        <f>BP48+BR48-BS48</f>
        <v>0</v>
      </c>
      <c r="BU48" s="68">
        <f t="shared" si="89"/>
        <v>3528929</v>
      </c>
      <c r="BV48" s="91"/>
      <c r="BW48" s="91"/>
      <c r="BX48" s="68">
        <f t="shared" si="71"/>
        <v>0</v>
      </c>
      <c r="BY48" s="68">
        <f t="shared" si="90"/>
        <v>3528929</v>
      </c>
      <c r="BZ48" s="91"/>
      <c r="CA48" s="91"/>
      <c r="CB48" s="68">
        <f t="shared" si="72"/>
        <v>0</v>
      </c>
      <c r="CC48" s="68">
        <f t="shared" si="91"/>
        <v>3528929</v>
      </c>
      <c r="CD48" s="91"/>
      <c r="CE48" s="91"/>
      <c r="CF48" s="68">
        <f t="shared" si="73"/>
        <v>0</v>
      </c>
      <c r="CG48" s="68">
        <f t="shared" si="92"/>
        <v>3528929</v>
      </c>
      <c r="CH48" s="91"/>
      <c r="CI48" s="91"/>
      <c r="CJ48" s="68">
        <f t="shared" si="74"/>
        <v>0</v>
      </c>
      <c r="CK48" s="68">
        <f t="shared" si="93"/>
        <v>3528929</v>
      </c>
      <c r="CL48" s="91"/>
      <c r="CM48" s="91"/>
      <c r="CN48" s="68">
        <f t="shared" si="75"/>
        <v>0</v>
      </c>
      <c r="CO48" s="68">
        <f t="shared" si="94"/>
        <v>3528929</v>
      </c>
      <c r="CP48" s="91"/>
      <c r="CQ48" s="91"/>
      <c r="CR48" s="68">
        <f t="shared" si="76"/>
        <v>0</v>
      </c>
      <c r="CS48" s="68">
        <f t="shared" si="95"/>
        <v>3528929</v>
      </c>
      <c r="CT48" s="91"/>
      <c r="CU48" s="91"/>
      <c r="CV48" s="68">
        <f t="shared" si="77"/>
        <v>0</v>
      </c>
      <c r="CW48" s="68">
        <f t="shared" si="96"/>
        <v>3528929</v>
      </c>
    </row>
    <row r="49" spans="1:129" s="139" customFormat="1" ht="24" x14ac:dyDescent="0.55000000000000004">
      <c r="A49" s="67">
        <v>45</v>
      </c>
      <c r="B49" s="129" t="s">
        <v>65</v>
      </c>
      <c r="C49" s="130">
        <v>191</v>
      </c>
      <c r="D49" s="131">
        <f>+'กระดาษทำการ 30 เม.ย.58'!BP51</f>
        <v>0</v>
      </c>
      <c r="E49" s="131">
        <f>+'กระดาษทำการ 30 เม.ย.58'!BQ51</f>
        <v>1118170</v>
      </c>
      <c r="F49" s="132"/>
      <c r="G49" s="132">
        <v>500</v>
      </c>
      <c r="H49" s="131"/>
      <c r="I49" s="131">
        <f>+E49-F49+G49</f>
        <v>1118670</v>
      </c>
      <c r="J49" s="132">
        <f>5200+1200</f>
        <v>6400</v>
      </c>
      <c r="K49" s="132"/>
      <c r="L49" s="131"/>
      <c r="M49" s="131">
        <f t="shared" si="78"/>
        <v>1112270</v>
      </c>
      <c r="N49" s="132">
        <v>1200</v>
      </c>
      <c r="O49" s="132">
        <f>750+16100</f>
        <v>16850</v>
      </c>
      <c r="P49" s="131"/>
      <c r="Q49" s="131">
        <f t="shared" si="79"/>
        <v>1127920</v>
      </c>
      <c r="R49" s="134">
        <v>100</v>
      </c>
      <c r="S49" s="134"/>
      <c r="T49" s="131"/>
      <c r="U49" s="131">
        <f t="shared" si="80"/>
        <v>1127820</v>
      </c>
      <c r="V49" s="135"/>
      <c r="W49" s="135"/>
      <c r="X49" s="131"/>
      <c r="Y49" s="131">
        <f t="shared" si="81"/>
        <v>1127820</v>
      </c>
      <c r="Z49" s="134">
        <f>700+950</f>
        <v>1650</v>
      </c>
      <c r="AA49" s="134">
        <v>4000</v>
      </c>
      <c r="AB49" s="131"/>
      <c r="AC49" s="131">
        <f t="shared" si="82"/>
        <v>1130170</v>
      </c>
      <c r="AD49" s="135"/>
      <c r="AE49" s="135">
        <f>500+1000</f>
        <v>1500</v>
      </c>
      <c r="AF49" s="131"/>
      <c r="AG49" s="131">
        <f t="shared" si="83"/>
        <v>1131670</v>
      </c>
      <c r="AH49" s="135"/>
      <c r="AI49" s="135"/>
      <c r="AJ49" s="131"/>
      <c r="AK49" s="131">
        <f t="shared" si="84"/>
        <v>1131670</v>
      </c>
      <c r="AL49" s="135"/>
      <c r="AM49" s="135">
        <f>13700+16100</f>
        <v>29800</v>
      </c>
      <c r="AN49" s="131"/>
      <c r="AO49" s="131">
        <f t="shared" ref="AO49:AO58" si="97">+AK49+AM49-AL49</f>
        <v>1161470</v>
      </c>
      <c r="AP49" s="135"/>
      <c r="AQ49" s="135">
        <v>26500</v>
      </c>
      <c r="AR49" s="131">
        <v>0</v>
      </c>
      <c r="AS49" s="131">
        <f t="shared" si="85"/>
        <v>1187970</v>
      </c>
      <c r="AT49" s="134">
        <v>4750</v>
      </c>
      <c r="AU49" s="134">
        <f>15800+25150</f>
        <v>40950</v>
      </c>
      <c r="AV49" s="131"/>
      <c r="AW49" s="131">
        <f t="shared" si="86"/>
        <v>1224170</v>
      </c>
      <c r="AX49" s="135">
        <f>24450+2950+1100</f>
        <v>28500</v>
      </c>
      <c r="AY49" s="135">
        <f>32935+4000+8450</f>
        <v>45385</v>
      </c>
      <c r="AZ49" s="153"/>
      <c r="BA49" s="153">
        <f>+AW49+AY49-AX49</f>
        <v>1241055</v>
      </c>
      <c r="BB49" s="135">
        <v>21150</v>
      </c>
      <c r="BC49" s="135"/>
      <c r="BD49" s="131"/>
      <c r="BE49" s="131">
        <f t="shared" si="53"/>
        <v>1219905</v>
      </c>
      <c r="BF49" s="135"/>
      <c r="BG49" s="135"/>
      <c r="BH49" s="131"/>
      <c r="BI49" s="131">
        <f t="shared" si="54"/>
        <v>1219905</v>
      </c>
      <c r="BJ49" s="135"/>
      <c r="BK49" s="135"/>
      <c r="BL49" s="131"/>
      <c r="BM49" s="131">
        <f t="shared" si="87"/>
        <v>1219905</v>
      </c>
      <c r="BN49" s="135"/>
      <c r="BO49" s="135">
        <v>14950</v>
      </c>
      <c r="BP49" s="131"/>
      <c r="BQ49" s="131">
        <f t="shared" si="88"/>
        <v>1234855</v>
      </c>
      <c r="BR49" s="135"/>
      <c r="BS49" s="135">
        <v>1400</v>
      </c>
      <c r="BT49" s="68"/>
      <c r="BU49" s="68">
        <f t="shared" si="89"/>
        <v>1236255</v>
      </c>
      <c r="BV49" s="135">
        <v>1450</v>
      </c>
      <c r="BW49" s="135">
        <v>1250</v>
      </c>
      <c r="BX49" s="68"/>
      <c r="BY49" s="68">
        <f t="shared" si="90"/>
        <v>1236055</v>
      </c>
      <c r="BZ49" s="135"/>
      <c r="CA49" s="135">
        <v>4600</v>
      </c>
      <c r="CB49" s="68"/>
      <c r="CC49" s="68">
        <f t="shared" si="91"/>
        <v>1240655</v>
      </c>
      <c r="CD49" s="135">
        <v>2800</v>
      </c>
      <c r="CE49" s="135">
        <v>300</v>
      </c>
      <c r="CF49" s="68"/>
      <c r="CG49" s="68">
        <f t="shared" si="92"/>
        <v>1238155</v>
      </c>
      <c r="CH49" s="135"/>
      <c r="CI49" s="135">
        <v>16000</v>
      </c>
      <c r="CJ49" s="68"/>
      <c r="CK49" s="68">
        <f t="shared" si="93"/>
        <v>1254155</v>
      </c>
      <c r="CL49" s="135"/>
      <c r="CM49" s="135">
        <v>39800</v>
      </c>
      <c r="CN49" s="68"/>
      <c r="CO49" s="68">
        <f t="shared" si="94"/>
        <v>1293955</v>
      </c>
      <c r="CP49" s="135">
        <v>10100</v>
      </c>
      <c r="CQ49" s="135">
        <v>36500</v>
      </c>
      <c r="CR49" s="68"/>
      <c r="CS49" s="68">
        <f t="shared" si="95"/>
        <v>1320355</v>
      </c>
      <c r="CT49" s="135">
        <v>12750</v>
      </c>
      <c r="CU49" s="135">
        <v>49850</v>
      </c>
      <c r="CV49" s="68"/>
      <c r="CW49" s="68">
        <f t="shared" si="96"/>
        <v>1357455</v>
      </c>
    </row>
    <row r="50" spans="1:129" x14ac:dyDescent="0.5">
      <c r="A50" s="67">
        <v>46</v>
      </c>
      <c r="B50" s="81" t="s">
        <v>22</v>
      </c>
      <c r="C50" s="67">
        <v>197</v>
      </c>
      <c r="D50" s="68">
        <f>+'กระดาษทำการ 30 เม.ย.58'!BP52</f>
        <v>0</v>
      </c>
      <c r="E50" s="68">
        <f>+'กระดาษทำการ 30 เม.ย.58'!BQ52</f>
        <v>0</v>
      </c>
      <c r="F50" s="91"/>
      <c r="G50" s="91"/>
      <c r="H50" s="68"/>
      <c r="I50" s="68">
        <f>+E50</f>
        <v>0</v>
      </c>
      <c r="J50" s="91"/>
      <c r="K50" s="91"/>
      <c r="L50" s="68"/>
      <c r="M50" s="68">
        <f t="shared" si="78"/>
        <v>0</v>
      </c>
      <c r="N50" s="91"/>
      <c r="O50" s="91"/>
      <c r="P50" s="68"/>
      <c r="Q50" s="68">
        <f t="shared" si="79"/>
        <v>0</v>
      </c>
      <c r="R50" s="91"/>
      <c r="S50" s="91"/>
      <c r="T50" s="68"/>
      <c r="U50" s="68">
        <f t="shared" si="80"/>
        <v>0</v>
      </c>
      <c r="V50" s="91"/>
      <c r="W50" s="91"/>
      <c r="X50" s="68"/>
      <c r="Y50" s="68">
        <f t="shared" si="81"/>
        <v>0</v>
      </c>
      <c r="Z50" s="91"/>
      <c r="AA50" s="91"/>
      <c r="AB50" s="68"/>
      <c r="AC50" s="68">
        <f t="shared" si="82"/>
        <v>0</v>
      </c>
      <c r="AD50" s="91"/>
      <c r="AE50" s="91"/>
      <c r="AF50" s="68"/>
      <c r="AG50" s="68">
        <f t="shared" si="83"/>
        <v>0</v>
      </c>
      <c r="AH50" s="91"/>
      <c r="AI50" s="91"/>
      <c r="AJ50" s="68"/>
      <c r="AK50" s="68">
        <f t="shared" si="84"/>
        <v>0</v>
      </c>
      <c r="AL50" s="91"/>
      <c r="AM50" s="91"/>
      <c r="AN50" s="68"/>
      <c r="AO50" s="68">
        <f t="shared" si="97"/>
        <v>0</v>
      </c>
      <c r="AP50" s="91"/>
      <c r="AQ50" s="91"/>
      <c r="AR50" s="68">
        <f>+AN50+AP50-AQ50</f>
        <v>0</v>
      </c>
      <c r="AS50" s="68">
        <f t="shared" si="85"/>
        <v>0</v>
      </c>
      <c r="AT50" s="91"/>
      <c r="AU50" s="91"/>
      <c r="AV50" s="68"/>
      <c r="AW50" s="68">
        <f t="shared" si="86"/>
        <v>0</v>
      </c>
      <c r="AX50" s="91"/>
      <c r="AY50" s="91"/>
      <c r="AZ50" s="152"/>
      <c r="BA50" s="152">
        <v>142018.04</v>
      </c>
      <c r="BB50" s="91"/>
      <c r="BC50" s="91"/>
      <c r="BD50" s="68"/>
      <c r="BE50" s="68">
        <f t="shared" si="53"/>
        <v>142018.04</v>
      </c>
      <c r="BF50" s="91"/>
      <c r="BG50" s="91"/>
      <c r="BH50" s="68"/>
      <c r="BI50" s="68">
        <f t="shared" si="54"/>
        <v>142018.04</v>
      </c>
      <c r="BJ50" s="91"/>
      <c r="BK50" s="91"/>
      <c r="BL50" s="68"/>
      <c r="BM50" s="68">
        <f t="shared" si="87"/>
        <v>142018.04</v>
      </c>
      <c r="BN50" s="91"/>
      <c r="BO50" s="91"/>
      <c r="BP50" s="68"/>
      <c r="BQ50" s="68">
        <f t="shared" si="88"/>
        <v>142018.04</v>
      </c>
      <c r="BR50" s="91"/>
      <c r="BS50" s="91"/>
      <c r="BT50" s="68">
        <f>BP50+BR50-BS50</f>
        <v>0</v>
      </c>
      <c r="BU50" s="68">
        <f t="shared" si="89"/>
        <v>142018.04</v>
      </c>
      <c r="BV50" s="91"/>
      <c r="BW50" s="91"/>
      <c r="BX50" s="68">
        <f>BT50+BV50-BW50</f>
        <v>0</v>
      </c>
      <c r="BY50" s="68">
        <f t="shared" si="90"/>
        <v>142018.04</v>
      </c>
      <c r="BZ50" s="91"/>
      <c r="CA50" s="91"/>
      <c r="CB50" s="68">
        <f>BX50+BZ50-CA50</f>
        <v>0</v>
      </c>
      <c r="CC50" s="68">
        <f t="shared" si="91"/>
        <v>142018.04</v>
      </c>
      <c r="CD50" s="91"/>
      <c r="CE50" s="91"/>
      <c r="CF50" s="68">
        <f>CB50+CD50-CE50</f>
        <v>0</v>
      </c>
      <c r="CG50" s="68">
        <f t="shared" si="92"/>
        <v>142018.04</v>
      </c>
      <c r="CH50" s="91"/>
      <c r="CI50" s="91"/>
      <c r="CJ50" s="68">
        <f>CF50+CH50-CI50</f>
        <v>0</v>
      </c>
      <c r="CK50" s="68">
        <f t="shared" si="93"/>
        <v>142018.04</v>
      </c>
      <c r="CL50" s="91"/>
      <c r="CM50" s="91"/>
      <c r="CN50" s="68">
        <f>CJ50+CL50-CM50</f>
        <v>0</v>
      </c>
      <c r="CO50" s="68">
        <f t="shared" si="94"/>
        <v>142018.04</v>
      </c>
      <c r="CP50" s="91"/>
      <c r="CQ50" s="91"/>
      <c r="CR50" s="68">
        <f>CN50+CP50-CQ50</f>
        <v>0</v>
      </c>
      <c r="CS50" s="68">
        <f t="shared" si="95"/>
        <v>142018.04</v>
      </c>
      <c r="CT50" s="91"/>
      <c r="CU50" s="91">
        <v>10385.459999999999</v>
      </c>
      <c r="CV50" s="68"/>
      <c r="CW50" s="68">
        <f t="shared" si="96"/>
        <v>152403.5</v>
      </c>
    </row>
    <row r="51" spans="1:129" x14ac:dyDescent="0.5">
      <c r="A51" s="67">
        <v>47</v>
      </c>
      <c r="B51" s="81" t="s">
        <v>4</v>
      </c>
      <c r="C51" s="67">
        <v>201</v>
      </c>
      <c r="D51" s="68">
        <f>+'กระดาษทำการ 30 เม.ย.58'!BP53</f>
        <v>0</v>
      </c>
      <c r="E51" s="68">
        <f>+'กระดาษทำการ 30 เม.ย.58'!BQ53</f>
        <v>58285</v>
      </c>
      <c r="F51" s="91"/>
      <c r="G51" s="91"/>
      <c r="H51" s="68"/>
      <c r="I51" s="68">
        <f>+E51</f>
        <v>58285</v>
      </c>
      <c r="J51" s="91"/>
      <c r="K51" s="91"/>
      <c r="L51" s="68"/>
      <c r="M51" s="68">
        <f t="shared" si="78"/>
        <v>58285</v>
      </c>
      <c r="N51" s="91"/>
      <c r="O51" s="91"/>
      <c r="P51" s="68"/>
      <c r="Q51" s="68">
        <f t="shared" si="79"/>
        <v>58285</v>
      </c>
      <c r="R51" s="91"/>
      <c r="S51" s="91"/>
      <c r="T51" s="68"/>
      <c r="U51" s="68">
        <f t="shared" si="80"/>
        <v>58285</v>
      </c>
      <c r="V51" s="91"/>
      <c r="W51" s="91"/>
      <c r="X51" s="68"/>
      <c r="Y51" s="68">
        <f t="shared" si="81"/>
        <v>58285</v>
      </c>
      <c r="Z51" s="91"/>
      <c r="AA51" s="91"/>
      <c r="AB51" s="68"/>
      <c r="AC51" s="68">
        <f t="shared" si="82"/>
        <v>58285</v>
      </c>
      <c r="AD51" s="91"/>
      <c r="AE51" s="91"/>
      <c r="AF51" s="68"/>
      <c r="AG51" s="68">
        <f t="shared" si="83"/>
        <v>58285</v>
      </c>
      <c r="AH51" s="91"/>
      <c r="AI51" s="91"/>
      <c r="AJ51" s="68"/>
      <c r="AK51" s="68">
        <f t="shared" si="84"/>
        <v>58285</v>
      </c>
      <c r="AL51" s="91"/>
      <c r="AM51" s="91"/>
      <c r="AN51" s="68"/>
      <c r="AO51" s="68">
        <f t="shared" si="97"/>
        <v>58285</v>
      </c>
      <c r="AP51" s="91"/>
      <c r="AQ51" s="91"/>
      <c r="AR51" s="68">
        <f>+AN51+AP51-AQ51</f>
        <v>0</v>
      </c>
      <c r="AS51" s="68">
        <f t="shared" si="85"/>
        <v>58285</v>
      </c>
      <c r="AT51" s="91"/>
      <c r="AU51" s="91"/>
      <c r="AV51" s="68"/>
      <c r="AW51" s="68">
        <f t="shared" si="86"/>
        <v>58285</v>
      </c>
      <c r="AX51" s="91"/>
      <c r="AY51" s="91"/>
      <c r="AZ51" s="152"/>
      <c r="BA51" s="152">
        <f>+AW51+AY51-AX51</f>
        <v>58285</v>
      </c>
      <c r="BB51" s="91"/>
      <c r="BC51" s="91"/>
      <c r="BD51" s="68"/>
      <c r="BE51" s="68">
        <f t="shared" si="53"/>
        <v>58285</v>
      </c>
      <c r="BF51" s="91"/>
      <c r="BG51" s="91"/>
      <c r="BH51" s="68"/>
      <c r="BI51" s="68">
        <f t="shared" si="54"/>
        <v>58285</v>
      </c>
      <c r="BJ51" s="91"/>
      <c r="BK51" s="91"/>
      <c r="BL51" s="68"/>
      <c r="BM51" s="68">
        <f t="shared" si="87"/>
        <v>58285</v>
      </c>
      <c r="BN51" s="91"/>
      <c r="BO51" s="91"/>
      <c r="BP51" s="68"/>
      <c r="BQ51" s="68">
        <f t="shared" si="88"/>
        <v>58285</v>
      </c>
      <c r="BR51" s="91"/>
      <c r="BS51" s="91"/>
      <c r="BT51" s="68">
        <f>BP51+BR51-BS51</f>
        <v>0</v>
      </c>
      <c r="BU51" s="68">
        <f t="shared" si="89"/>
        <v>58285</v>
      </c>
      <c r="BV51" s="91"/>
      <c r="BW51" s="91"/>
      <c r="BX51" s="68">
        <f>BT51+BV51-BW51</f>
        <v>0</v>
      </c>
      <c r="BY51" s="68">
        <f t="shared" si="90"/>
        <v>58285</v>
      </c>
      <c r="BZ51" s="91"/>
      <c r="CA51" s="91"/>
      <c r="CB51" s="68">
        <f>BX51+BZ51-CA51</f>
        <v>0</v>
      </c>
      <c r="CC51" s="68">
        <f t="shared" si="91"/>
        <v>58285</v>
      </c>
      <c r="CD51" s="91"/>
      <c r="CE51" s="91"/>
      <c r="CF51" s="68">
        <f>CB51+CD51-CE51</f>
        <v>0</v>
      </c>
      <c r="CG51" s="68">
        <f t="shared" si="92"/>
        <v>58285</v>
      </c>
      <c r="CH51" s="91"/>
      <c r="CI51" s="91"/>
      <c r="CJ51" s="68">
        <f>CF51+CH51-CI51</f>
        <v>0</v>
      </c>
      <c r="CK51" s="68">
        <f t="shared" si="93"/>
        <v>58285</v>
      </c>
      <c r="CL51" s="91"/>
      <c r="CM51" s="91"/>
      <c r="CN51" s="68">
        <f>CJ51+CL51-CM51</f>
        <v>0</v>
      </c>
      <c r="CO51" s="68">
        <f t="shared" si="94"/>
        <v>58285</v>
      </c>
      <c r="CP51" s="91"/>
      <c r="CQ51" s="91"/>
      <c r="CR51" s="68">
        <f>CN51+CP51-CQ51</f>
        <v>0</v>
      </c>
      <c r="CS51" s="68">
        <f t="shared" si="95"/>
        <v>58285</v>
      </c>
      <c r="CT51" s="91"/>
      <c r="CU51" s="91">
        <v>1000</v>
      </c>
      <c r="CV51" s="68"/>
      <c r="CW51" s="68">
        <f t="shared" si="96"/>
        <v>59285</v>
      </c>
    </row>
    <row r="52" spans="1:129" x14ac:dyDescent="0.5">
      <c r="A52" s="67">
        <v>48</v>
      </c>
      <c r="B52" s="81" t="s">
        <v>3</v>
      </c>
      <c r="C52" s="67">
        <v>205</v>
      </c>
      <c r="D52" s="68">
        <f>+'กระดาษทำการ 30 เม.ย.58'!BP54</f>
        <v>0</v>
      </c>
      <c r="E52" s="68">
        <f>+'กระดาษทำการ 30 เม.ย.58'!BQ54</f>
        <v>48650</v>
      </c>
      <c r="F52" s="91"/>
      <c r="G52" s="91"/>
      <c r="H52" s="68"/>
      <c r="I52" s="68">
        <f>+E52</f>
        <v>48650</v>
      </c>
      <c r="J52" s="91"/>
      <c r="K52" s="91"/>
      <c r="L52" s="68"/>
      <c r="M52" s="68">
        <f t="shared" si="78"/>
        <v>48650</v>
      </c>
      <c r="N52" s="91"/>
      <c r="O52" s="91"/>
      <c r="P52" s="68"/>
      <c r="Q52" s="68">
        <f t="shared" si="79"/>
        <v>48650</v>
      </c>
      <c r="R52" s="91"/>
      <c r="S52" s="91"/>
      <c r="T52" s="68"/>
      <c r="U52" s="68">
        <f t="shared" si="80"/>
        <v>48650</v>
      </c>
      <c r="V52" s="91"/>
      <c r="W52" s="91"/>
      <c r="X52" s="68"/>
      <c r="Y52" s="68">
        <f t="shared" si="81"/>
        <v>48650</v>
      </c>
      <c r="Z52" s="91"/>
      <c r="AA52" s="91"/>
      <c r="AB52" s="68"/>
      <c r="AC52" s="68">
        <f t="shared" si="82"/>
        <v>48650</v>
      </c>
      <c r="AD52" s="91"/>
      <c r="AE52" s="91"/>
      <c r="AF52" s="68"/>
      <c r="AG52" s="68">
        <f t="shared" si="83"/>
        <v>48650</v>
      </c>
      <c r="AH52" s="91"/>
      <c r="AI52" s="91"/>
      <c r="AJ52" s="68"/>
      <c r="AK52" s="68">
        <f t="shared" si="84"/>
        <v>48650</v>
      </c>
      <c r="AL52" s="91"/>
      <c r="AM52" s="91"/>
      <c r="AN52" s="68"/>
      <c r="AO52" s="68">
        <f t="shared" si="97"/>
        <v>48650</v>
      </c>
      <c r="AP52" s="91"/>
      <c r="AQ52" s="91"/>
      <c r="AR52" s="68">
        <f>+AN52+AP52-AQ52</f>
        <v>0</v>
      </c>
      <c r="AS52" s="68">
        <f t="shared" si="85"/>
        <v>48650</v>
      </c>
      <c r="AT52" s="91"/>
      <c r="AU52" s="91"/>
      <c r="AV52" s="68"/>
      <c r="AW52" s="68">
        <f t="shared" si="86"/>
        <v>48650</v>
      </c>
      <c r="AX52" s="91"/>
      <c r="AY52" s="117"/>
      <c r="AZ52" s="152"/>
      <c r="BA52" s="152">
        <f>+AW52+AY52-AX52</f>
        <v>48650</v>
      </c>
      <c r="BB52" s="91"/>
      <c r="BC52" s="117"/>
      <c r="BD52" s="68"/>
      <c r="BE52" s="68">
        <f t="shared" si="53"/>
        <v>48650</v>
      </c>
      <c r="BF52" s="91"/>
      <c r="BG52" s="117"/>
      <c r="BH52" s="68"/>
      <c r="BI52" s="68">
        <f t="shared" si="54"/>
        <v>48650</v>
      </c>
      <c r="BJ52" s="91"/>
      <c r="BK52" s="117"/>
      <c r="BL52" s="68"/>
      <c r="BM52" s="68">
        <f t="shared" si="87"/>
        <v>48650</v>
      </c>
      <c r="BN52" s="91"/>
      <c r="BO52" s="117"/>
      <c r="BP52" s="68"/>
      <c r="BQ52" s="68">
        <f t="shared" si="88"/>
        <v>48650</v>
      </c>
      <c r="BR52" s="91"/>
      <c r="BS52" s="117"/>
      <c r="BT52" s="68">
        <f>BP52+BR52-BS52</f>
        <v>0</v>
      </c>
      <c r="BU52" s="68">
        <f t="shared" si="89"/>
        <v>48650</v>
      </c>
      <c r="BV52" s="91"/>
      <c r="BW52" s="117"/>
      <c r="BX52" s="68">
        <f>BT52+BV52-BW52</f>
        <v>0</v>
      </c>
      <c r="BY52" s="68">
        <f t="shared" si="90"/>
        <v>48650</v>
      </c>
      <c r="BZ52" s="91"/>
      <c r="CA52" s="117"/>
      <c r="CB52" s="68">
        <f>BX52+BZ52-CA52</f>
        <v>0</v>
      </c>
      <c r="CC52" s="68">
        <f t="shared" si="91"/>
        <v>48650</v>
      </c>
      <c r="CD52" s="91"/>
      <c r="CE52" s="117"/>
      <c r="CF52" s="68">
        <f>CB52+CD52-CE52</f>
        <v>0</v>
      </c>
      <c r="CG52" s="68">
        <f t="shared" si="92"/>
        <v>48650</v>
      </c>
      <c r="CH52" s="91"/>
      <c r="CI52" s="117"/>
      <c r="CJ52" s="68">
        <f>CF52+CH52-CI52</f>
        <v>0</v>
      </c>
      <c r="CK52" s="68">
        <f t="shared" si="93"/>
        <v>48650</v>
      </c>
      <c r="CL52" s="91"/>
      <c r="CM52" s="117"/>
      <c r="CN52" s="68">
        <f>CJ52+CL52-CM52</f>
        <v>0</v>
      </c>
      <c r="CO52" s="68">
        <f t="shared" si="94"/>
        <v>48650</v>
      </c>
      <c r="CP52" s="91"/>
      <c r="CQ52" s="117"/>
      <c r="CR52" s="68">
        <f>CN52+CP52-CQ52</f>
        <v>0</v>
      </c>
      <c r="CS52" s="68">
        <f t="shared" si="95"/>
        <v>48650</v>
      </c>
      <c r="CT52" s="91"/>
      <c r="CU52" s="117">
        <v>1000</v>
      </c>
      <c r="CV52" s="68"/>
      <c r="CW52" s="68">
        <f t="shared" si="96"/>
        <v>49650</v>
      </c>
    </row>
    <row r="53" spans="1:129" x14ac:dyDescent="0.5">
      <c r="A53" s="67">
        <v>49</v>
      </c>
      <c r="B53" s="81" t="s">
        <v>66</v>
      </c>
      <c r="C53" s="67">
        <v>209</v>
      </c>
      <c r="D53" s="68">
        <f>+'กระดาษทำการ 30 เม.ย.58'!BP55</f>
        <v>0</v>
      </c>
      <c r="E53" s="68">
        <f>+'กระดาษทำการ 30 เม.ย.58'!BQ55</f>
        <v>9272</v>
      </c>
      <c r="F53" s="91"/>
      <c r="G53" s="91"/>
      <c r="H53" s="68"/>
      <c r="I53" s="68">
        <f>+E53</f>
        <v>9272</v>
      </c>
      <c r="J53" s="91"/>
      <c r="K53" s="91"/>
      <c r="L53" s="68"/>
      <c r="M53" s="68">
        <f t="shared" si="78"/>
        <v>9272</v>
      </c>
      <c r="N53" s="91"/>
      <c r="O53" s="91"/>
      <c r="P53" s="68"/>
      <c r="Q53" s="68">
        <f t="shared" si="79"/>
        <v>9272</v>
      </c>
      <c r="R53" s="91"/>
      <c r="S53" s="91"/>
      <c r="T53" s="68"/>
      <c r="U53" s="68">
        <f t="shared" si="80"/>
        <v>9272</v>
      </c>
      <c r="V53" s="91"/>
      <c r="W53" s="91"/>
      <c r="X53" s="68"/>
      <c r="Y53" s="68">
        <f t="shared" si="81"/>
        <v>9272</v>
      </c>
      <c r="Z53" s="91"/>
      <c r="AA53" s="91"/>
      <c r="AB53" s="68"/>
      <c r="AC53" s="68">
        <f t="shared" si="82"/>
        <v>9272</v>
      </c>
      <c r="AD53" s="91"/>
      <c r="AE53" s="91"/>
      <c r="AF53" s="68"/>
      <c r="AG53" s="68">
        <f t="shared" si="83"/>
        <v>9272</v>
      </c>
      <c r="AH53" s="91"/>
      <c r="AI53" s="91"/>
      <c r="AJ53" s="68"/>
      <c r="AK53" s="68">
        <f t="shared" si="84"/>
        <v>9272</v>
      </c>
      <c r="AL53" s="91"/>
      <c r="AM53" s="91"/>
      <c r="AN53" s="68"/>
      <c r="AO53" s="68">
        <f t="shared" si="97"/>
        <v>9272</v>
      </c>
      <c r="AP53" s="91"/>
      <c r="AQ53" s="91"/>
      <c r="AR53" s="68">
        <f>+AN53+AP53-AQ53</f>
        <v>0</v>
      </c>
      <c r="AS53" s="68">
        <f t="shared" si="85"/>
        <v>9272</v>
      </c>
      <c r="AT53" s="91"/>
      <c r="AU53" s="91"/>
      <c r="AV53" s="68"/>
      <c r="AW53" s="68">
        <f t="shared" si="86"/>
        <v>9272</v>
      </c>
      <c r="AX53" s="91"/>
      <c r="AY53" s="117"/>
      <c r="AZ53" s="152"/>
      <c r="BA53" s="152">
        <f>+AW53+AY53-AX53</f>
        <v>9272</v>
      </c>
      <c r="BB53" s="91"/>
      <c r="BC53" s="117"/>
      <c r="BD53" s="68"/>
      <c r="BE53" s="68">
        <f t="shared" si="53"/>
        <v>9272</v>
      </c>
      <c r="BF53" s="91">
        <v>1000</v>
      </c>
      <c r="BG53" s="117">
        <v>900</v>
      </c>
      <c r="BH53" s="68"/>
      <c r="BI53" s="68">
        <f t="shared" si="54"/>
        <v>9172</v>
      </c>
      <c r="BJ53" s="91"/>
      <c r="BK53" s="117"/>
      <c r="BL53" s="68"/>
      <c r="BM53" s="68">
        <f t="shared" si="87"/>
        <v>9172</v>
      </c>
      <c r="BN53" s="91"/>
      <c r="BO53" s="117"/>
      <c r="BP53" s="68"/>
      <c r="BQ53" s="68">
        <f t="shared" si="88"/>
        <v>9172</v>
      </c>
      <c r="BR53" s="91"/>
      <c r="BS53" s="117"/>
      <c r="BT53" s="68">
        <f>BP53+BR53-BS53</f>
        <v>0</v>
      </c>
      <c r="BU53" s="68">
        <f t="shared" si="89"/>
        <v>9172</v>
      </c>
      <c r="BV53" s="91"/>
      <c r="BW53" s="117"/>
      <c r="BX53" s="68">
        <f>BT53+BV53-BW53</f>
        <v>0</v>
      </c>
      <c r="BY53" s="68">
        <f t="shared" si="90"/>
        <v>9172</v>
      </c>
      <c r="BZ53" s="91"/>
      <c r="CA53" s="117"/>
      <c r="CB53" s="68">
        <f>BX53+BZ53-CA53</f>
        <v>0</v>
      </c>
      <c r="CC53" s="68">
        <f t="shared" si="91"/>
        <v>9172</v>
      </c>
      <c r="CD53" s="91"/>
      <c r="CE53" s="117"/>
      <c r="CF53" s="68">
        <f>CB53+CD53-CE53</f>
        <v>0</v>
      </c>
      <c r="CG53" s="68">
        <f t="shared" si="92"/>
        <v>9172</v>
      </c>
      <c r="CH53" s="91"/>
      <c r="CI53" s="117"/>
      <c r="CJ53" s="68">
        <f>CF53+CH53-CI53</f>
        <v>0</v>
      </c>
      <c r="CK53" s="68">
        <f t="shared" si="93"/>
        <v>9172</v>
      </c>
      <c r="CL53" s="91"/>
      <c r="CM53" s="117"/>
      <c r="CN53" s="68">
        <f>CJ53+CL53-CM53</f>
        <v>0</v>
      </c>
      <c r="CO53" s="68">
        <f t="shared" si="94"/>
        <v>9172</v>
      </c>
      <c r="CP53" s="91"/>
      <c r="CQ53" s="117"/>
      <c r="CR53" s="68">
        <f>CN53+CP53-CQ53</f>
        <v>0</v>
      </c>
      <c r="CS53" s="68">
        <f t="shared" si="95"/>
        <v>9172</v>
      </c>
      <c r="CT53" s="91"/>
      <c r="CU53" s="117">
        <v>1000</v>
      </c>
      <c r="CV53" s="68"/>
      <c r="CW53" s="68">
        <f t="shared" si="96"/>
        <v>10172</v>
      </c>
    </row>
    <row r="54" spans="1:129" s="190" customFormat="1" ht="24" x14ac:dyDescent="0.55000000000000004">
      <c r="A54" s="187"/>
      <c r="B54" s="186" t="s">
        <v>214</v>
      </c>
      <c r="C54" s="187"/>
      <c r="D54" s="188"/>
      <c r="E54" s="188"/>
      <c r="F54" s="188"/>
      <c r="G54" s="189"/>
      <c r="H54" s="188"/>
      <c r="I54" s="188"/>
      <c r="J54" s="188"/>
      <c r="K54" s="189"/>
      <c r="L54" s="188"/>
      <c r="M54" s="188"/>
      <c r="N54" s="188"/>
      <c r="O54" s="189"/>
      <c r="P54" s="188"/>
      <c r="Q54" s="188"/>
      <c r="R54" s="188"/>
      <c r="S54" s="189"/>
      <c r="T54" s="188"/>
      <c r="U54" s="188"/>
      <c r="V54" s="188"/>
      <c r="W54" s="189"/>
      <c r="X54" s="188"/>
      <c r="Y54" s="188"/>
      <c r="Z54" s="188"/>
      <c r="AA54" s="189"/>
      <c r="AB54" s="188"/>
      <c r="AC54" s="188"/>
      <c r="AD54" s="188"/>
      <c r="AE54" s="189"/>
      <c r="AF54" s="188"/>
      <c r="AG54" s="188"/>
    </row>
    <row r="55" spans="1:129" ht="24" x14ac:dyDescent="0.55000000000000004">
      <c r="A55" s="67">
        <v>50</v>
      </c>
      <c r="B55" s="81" t="s">
        <v>13</v>
      </c>
      <c r="C55" s="67">
        <v>223</v>
      </c>
      <c r="D55" s="68">
        <f>+'กระดาษทำการ 30 เม.ย.58'!BP57</f>
        <v>0</v>
      </c>
      <c r="E55" s="68">
        <f>+'กระดาษทำการ 30 เม.ย.58'!BQ57</f>
        <v>0</v>
      </c>
      <c r="F55" s="91"/>
      <c r="G55" s="91"/>
      <c r="H55" s="68">
        <f>+D55+F55-G55</f>
        <v>0</v>
      </c>
      <c r="I55" s="68"/>
      <c r="J55" s="119"/>
      <c r="K55" s="119">
        <v>126.58</v>
      </c>
      <c r="L55" s="68"/>
      <c r="M55" s="68">
        <f t="shared" si="78"/>
        <v>126.58</v>
      </c>
      <c r="N55" s="119"/>
      <c r="O55" s="119">
        <v>9335.94</v>
      </c>
      <c r="P55" s="68"/>
      <c r="Q55" s="68">
        <f t="shared" si="79"/>
        <v>9462.52</v>
      </c>
      <c r="R55" s="91"/>
      <c r="S55" s="91"/>
      <c r="T55" s="68"/>
      <c r="U55" s="68">
        <f t="shared" si="80"/>
        <v>9462.52</v>
      </c>
      <c r="V55" s="91"/>
      <c r="W55" s="91"/>
      <c r="X55" s="68"/>
      <c r="Y55" s="68">
        <f t="shared" si="81"/>
        <v>9462.52</v>
      </c>
      <c r="Z55" s="92"/>
      <c r="AA55" s="92">
        <v>3089.61</v>
      </c>
      <c r="AB55" s="68"/>
      <c r="AC55" s="68">
        <f t="shared" si="82"/>
        <v>12552.130000000001</v>
      </c>
      <c r="AD55" s="91"/>
      <c r="AE55" s="91">
        <f>349.04+349.04+1199.23</f>
        <v>1897.31</v>
      </c>
      <c r="AF55" s="68"/>
      <c r="AG55" s="68">
        <f t="shared" si="83"/>
        <v>14449.44</v>
      </c>
      <c r="AH55" s="91"/>
      <c r="AI55" s="91"/>
      <c r="AJ55" s="68"/>
      <c r="AK55" s="68">
        <f t="shared" si="84"/>
        <v>14449.44</v>
      </c>
      <c r="AL55" s="91"/>
      <c r="AM55" s="91">
        <f>1788.17+4079.96+4423.79+11146.8+357.46</f>
        <v>21796.18</v>
      </c>
      <c r="AN55" s="68"/>
      <c r="AO55" s="68">
        <f t="shared" si="97"/>
        <v>36245.620000000003</v>
      </c>
      <c r="AP55" s="91"/>
      <c r="AQ55" s="91">
        <v>27207.16</v>
      </c>
      <c r="AR55" s="68">
        <v>0</v>
      </c>
      <c r="AS55" s="68">
        <f t="shared" si="85"/>
        <v>63452.78</v>
      </c>
      <c r="AT55" s="92"/>
      <c r="AU55" s="92">
        <f>16920.76+25012.89</f>
        <v>41933.649999999994</v>
      </c>
      <c r="AV55" s="68"/>
      <c r="AW55" s="68">
        <f t="shared" si="86"/>
        <v>105386.43</v>
      </c>
      <c r="AX55" s="91"/>
      <c r="AY55" s="91">
        <f>5449.18+38603.66+932.78+2225.64+15003.2+5322.93</f>
        <v>67537.390000000014</v>
      </c>
      <c r="AZ55" s="152"/>
      <c r="BA55" s="152"/>
      <c r="BB55" s="91"/>
      <c r="BC55" s="91">
        <v>1312.43</v>
      </c>
      <c r="BD55" s="68"/>
      <c r="BE55" s="68">
        <f t="shared" si="53"/>
        <v>1312.43</v>
      </c>
      <c r="BF55" s="91"/>
      <c r="BG55" s="91"/>
      <c r="BH55" s="68"/>
      <c r="BI55" s="68">
        <f t="shared" si="54"/>
        <v>1312.43</v>
      </c>
      <c r="BJ55" s="91"/>
      <c r="BK55" s="91"/>
      <c r="BL55" s="68"/>
      <c r="BM55" s="68">
        <f t="shared" si="87"/>
        <v>1312.43</v>
      </c>
      <c r="BN55" s="91"/>
      <c r="BO55" s="91">
        <v>3047.33</v>
      </c>
      <c r="BP55" s="68"/>
      <c r="BQ55" s="68">
        <f t="shared" si="88"/>
        <v>4359.76</v>
      </c>
      <c r="BR55" s="91"/>
      <c r="BS55" s="91">
        <v>234.41</v>
      </c>
      <c r="BT55" s="68"/>
      <c r="BU55" s="68">
        <f t="shared" si="89"/>
        <v>4594.17</v>
      </c>
      <c r="BV55" s="91"/>
      <c r="BW55" s="91">
        <v>1050</v>
      </c>
      <c r="BX55" s="68"/>
      <c r="BY55" s="68">
        <f t="shared" si="90"/>
        <v>5644.17</v>
      </c>
      <c r="BZ55" s="91"/>
      <c r="CA55" s="91">
        <v>3053.12</v>
      </c>
      <c r="CB55" s="68"/>
      <c r="CC55" s="68">
        <f t="shared" si="91"/>
        <v>8697.2900000000009</v>
      </c>
      <c r="CD55" s="91"/>
      <c r="CE55" s="91">
        <v>5170.67</v>
      </c>
      <c r="CF55" s="68"/>
      <c r="CG55" s="68">
        <f t="shared" si="92"/>
        <v>13867.960000000001</v>
      </c>
      <c r="CH55" s="91"/>
      <c r="CI55" s="91">
        <v>11223.02</v>
      </c>
      <c r="CJ55" s="68"/>
      <c r="CK55" s="68">
        <f t="shared" si="93"/>
        <v>25090.980000000003</v>
      </c>
      <c r="CL55" s="91"/>
      <c r="CM55" s="91">
        <v>35693.360000000001</v>
      </c>
      <c r="CN55" s="68"/>
      <c r="CO55" s="68">
        <f t="shared" si="94"/>
        <v>60784.340000000004</v>
      </c>
      <c r="CP55" s="91"/>
      <c r="CQ55" s="91">
        <v>42379.53</v>
      </c>
      <c r="CR55" s="68"/>
      <c r="CS55" s="68">
        <f t="shared" si="95"/>
        <v>103163.87</v>
      </c>
      <c r="CT55" s="91"/>
      <c r="CU55" s="91">
        <v>64138.71</v>
      </c>
      <c r="CV55" s="68"/>
      <c r="CW55" s="68">
        <f t="shared" ref="CW55:CW58" si="98">+CS55+CU55-CT55</f>
        <v>167302.57999999999</v>
      </c>
    </row>
    <row r="56" spans="1:129" x14ac:dyDescent="0.5">
      <c r="A56" s="67">
        <v>51</v>
      </c>
      <c r="B56" s="81" t="s">
        <v>67</v>
      </c>
      <c r="C56" s="67">
        <v>243</v>
      </c>
      <c r="D56" s="68">
        <f>+'กระดาษทำการ 30 เม.ย.58'!BP58</f>
        <v>0</v>
      </c>
      <c r="E56" s="68">
        <f>+'กระดาษทำการ 30 เม.ย.58'!BQ58</f>
        <v>0</v>
      </c>
      <c r="F56" s="91"/>
      <c r="G56" s="91"/>
      <c r="H56" s="68">
        <f>+D56+F56-G56</f>
        <v>0</v>
      </c>
      <c r="I56" s="68"/>
      <c r="J56" s="119"/>
      <c r="K56" s="119">
        <v>54.25</v>
      </c>
      <c r="L56" s="68"/>
      <c r="M56" s="68">
        <f t="shared" si="78"/>
        <v>54.25</v>
      </c>
      <c r="N56" s="91"/>
      <c r="O56" s="91"/>
      <c r="P56" s="68"/>
      <c r="Q56" s="68">
        <f t="shared" si="79"/>
        <v>54.25</v>
      </c>
      <c r="R56" s="91"/>
      <c r="S56" s="91"/>
      <c r="T56" s="68"/>
      <c r="U56" s="68">
        <f t="shared" si="80"/>
        <v>54.25</v>
      </c>
      <c r="V56" s="91"/>
      <c r="W56" s="91"/>
      <c r="X56" s="68"/>
      <c r="Y56" s="68">
        <f t="shared" si="81"/>
        <v>54.25</v>
      </c>
      <c r="Z56" s="91"/>
      <c r="AA56" s="91"/>
      <c r="AB56" s="68"/>
      <c r="AC56" s="68">
        <f t="shared" si="82"/>
        <v>54.25</v>
      </c>
      <c r="AD56" s="91"/>
      <c r="AE56" s="91">
        <f>3.28+4.1</f>
        <v>7.379999999999999</v>
      </c>
      <c r="AF56" s="68"/>
      <c r="AG56" s="68">
        <f t="shared" si="83"/>
        <v>61.629999999999995</v>
      </c>
      <c r="AH56" s="91"/>
      <c r="AI56" s="91"/>
      <c r="AJ56" s="68"/>
      <c r="AK56" s="68">
        <f t="shared" si="84"/>
        <v>61.629999999999995</v>
      </c>
      <c r="AL56" s="91"/>
      <c r="AM56" s="91"/>
      <c r="AN56" s="68"/>
      <c r="AO56" s="68">
        <f t="shared" si="97"/>
        <v>61.629999999999995</v>
      </c>
      <c r="AP56" s="91"/>
      <c r="AQ56" s="91"/>
      <c r="AR56" s="68">
        <f>+AN56+AP56-AQ56</f>
        <v>0</v>
      </c>
      <c r="AS56" s="68">
        <f t="shared" si="85"/>
        <v>61.629999999999995</v>
      </c>
      <c r="AT56" s="91"/>
      <c r="AU56" s="91"/>
      <c r="AV56" s="68"/>
      <c r="AW56" s="68">
        <f t="shared" si="86"/>
        <v>61.629999999999995</v>
      </c>
      <c r="AX56" s="91"/>
      <c r="AY56" s="91">
        <f>866.59+448.77</f>
        <v>1315.3600000000001</v>
      </c>
      <c r="AZ56" s="152"/>
      <c r="BA56" s="152"/>
      <c r="BB56" s="91"/>
      <c r="BC56" s="91">
        <v>86.17</v>
      </c>
      <c r="BD56" s="68"/>
      <c r="BE56" s="68">
        <f t="shared" si="53"/>
        <v>86.17</v>
      </c>
      <c r="BF56" s="91"/>
      <c r="BG56" s="91"/>
      <c r="BH56" s="68"/>
      <c r="BI56" s="68">
        <f t="shared" si="54"/>
        <v>86.17</v>
      </c>
      <c r="BJ56" s="91"/>
      <c r="BK56" s="91"/>
      <c r="BL56" s="68"/>
      <c r="BM56" s="68">
        <f t="shared" si="87"/>
        <v>86.17</v>
      </c>
      <c r="BN56" s="91"/>
      <c r="BO56" s="91"/>
      <c r="BP56" s="68"/>
      <c r="BQ56" s="68">
        <f t="shared" si="88"/>
        <v>86.17</v>
      </c>
      <c r="BR56" s="91"/>
      <c r="BS56" s="91">
        <v>145.56</v>
      </c>
      <c r="BT56" s="68"/>
      <c r="BU56" s="68">
        <f t="shared" si="89"/>
        <v>231.73000000000002</v>
      </c>
      <c r="BV56" s="91"/>
      <c r="BW56" s="91">
        <v>192.32</v>
      </c>
      <c r="BX56" s="68"/>
      <c r="BY56" s="68">
        <f t="shared" si="90"/>
        <v>424.05</v>
      </c>
      <c r="BZ56" s="91"/>
      <c r="CA56" s="91">
        <v>118.32</v>
      </c>
      <c r="CB56" s="68"/>
      <c r="CC56" s="68">
        <f t="shared" si="91"/>
        <v>542.37</v>
      </c>
      <c r="CD56" s="91"/>
      <c r="CE56" s="91">
        <v>1293.81</v>
      </c>
      <c r="CF56" s="68"/>
      <c r="CG56" s="68">
        <f t="shared" si="92"/>
        <v>1836.1799999999998</v>
      </c>
      <c r="CH56" s="91"/>
      <c r="CI56" s="91">
        <v>840</v>
      </c>
      <c r="CJ56" s="68"/>
      <c r="CK56" s="68">
        <f t="shared" si="93"/>
        <v>2676.18</v>
      </c>
      <c r="CL56" s="91"/>
      <c r="CM56" s="91">
        <v>111.19</v>
      </c>
      <c r="CN56" s="68"/>
      <c r="CO56" s="68">
        <f t="shared" si="94"/>
        <v>2787.37</v>
      </c>
      <c r="CP56" s="91"/>
      <c r="CQ56" s="91">
        <v>450</v>
      </c>
      <c r="CR56" s="68"/>
      <c r="CS56" s="68">
        <f t="shared" si="95"/>
        <v>3237.37</v>
      </c>
      <c r="CT56" s="91"/>
      <c r="CU56" s="91">
        <v>665.26</v>
      </c>
      <c r="CV56" s="68"/>
      <c r="CW56" s="68">
        <f t="shared" si="98"/>
        <v>3902.63</v>
      </c>
    </row>
    <row r="57" spans="1:129" x14ac:dyDescent="0.5">
      <c r="A57" s="67">
        <v>52</v>
      </c>
      <c r="B57" s="81" t="s">
        <v>12</v>
      </c>
      <c r="C57" s="67">
        <v>252</v>
      </c>
      <c r="D57" s="68">
        <f>+'กระดาษทำการ 30 เม.ย.58'!BP59</f>
        <v>0</v>
      </c>
      <c r="E57" s="68">
        <f>+'กระดาษทำการ 30 เม.ย.58'!BQ59</f>
        <v>0</v>
      </c>
      <c r="F57" s="91"/>
      <c r="G57" s="91">
        <f>3500+4415</f>
        <v>7915</v>
      </c>
      <c r="H57" s="68"/>
      <c r="I57" s="68">
        <f>+G57</f>
        <v>7915</v>
      </c>
      <c r="J57" s="91"/>
      <c r="K57" s="91">
        <v>32165</v>
      </c>
      <c r="L57" s="68"/>
      <c r="M57" s="68">
        <f t="shared" si="78"/>
        <v>40080</v>
      </c>
      <c r="N57" s="91"/>
      <c r="O57" s="91">
        <v>8840</v>
      </c>
      <c r="P57" s="68"/>
      <c r="Q57" s="68">
        <f t="shared" si="79"/>
        <v>48920</v>
      </c>
      <c r="R57" s="91"/>
      <c r="S57" s="91">
        <v>13955</v>
      </c>
      <c r="T57" s="68"/>
      <c r="U57" s="68">
        <f t="shared" si="80"/>
        <v>62875</v>
      </c>
      <c r="V57" s="91"/>
      <c r="W57" s="91"/>
      <c r="X57" s="68"/>
      <c r="Y57" s="68">
        <f t="shared" si="81"/>
        <v>62875</v>
      </c>
      <c r="Z57" s="91"/>
      <c r="AA57" s="91">
        <v>17205</v>
      </c>
      <c r="AB57" s="68"/>
      <c r="AC57" s="68">
        <f t="shared" si="82"/>
        <v>80080</v>
      </c>
      <c r="AD57" s="91"/>
      <c r="AE57" s="91">
        <f>26865+5200+15970</f>
        <v>48035</v>
      </c>
      <c r="AF57" s="68"/>
      <c r="AG57" s="68">
        <f t="shared" si="83"/>
        <v>128115</v>
      </c>
      <c r="AH57" s="91"/>
      <c r="AI57" s="91">
        <v>30150</v>
      </c>
      <c r="AJ57" s="68"/>
      <c r="AK57" s="68">
        <f t="shared" si="84"/>
        <v>158265</v>
      </c>
      <c r="AL57" s="91"/>
      <c r="AM57" s="91">
        <f>8250+10000</f>
        <v>18250</v>
      </c>
      <c r="AN57" s="68"/>
      <c r="AO57" s="68">
        <f t="shared" si="97"/>
        <v>176515</v>
      </c>
      <c r="AP57" s="91"/>
      <c r="AQ57" s="91">
        <v>13060</v>
      </c>
      <c r="AR57" s="68">
        <v>0</v>
      </c>
      <c r="AS57" s="68">
        <f t="shared" si="85"/>
        <v>189575</v>
      </c>
      <c r="AT57" s="91"/>
      <c r="AU57" s="91"/>
      <c r="AV57" s="68"/>
      <c r="AW57" s="68">
        <f t="shared" si="86"/>
        <v>189575</v>
      </c>
      <c r="AX57" s="91"/>
      <c r="AY57" s="91">
        <v>31900</v>
      </c>
      <c r="AZ57" s="152"/>
      <c r="BA57" s="152"/>
      <c r="BB57" s="91"/>
      <c r="BC57" s="91">
        <v>29305</v>
      </c>
      <c r="BD57" s="68"/>
      <c r="BE57" s="68">
        <f t="shared" si="53"/>
        <v>29305</v>
      </c>
      <c r="BF57" s="91"/>
      <c r="BG57" s="91"/>
      <c r="BH57" s="68"/>
      <c r="BI57" s="68">
        <f t="shared" si="54"/>
        <v>29305</v>
      </c>
      <c r="BJ57" s="91"/>
      <c r="BK57" s="91"/>
      <c r="BL57" s="68"/>
      <c r="BM57" s="68">
        <f t="shared" si="87"/>
        <v>29305</v>
      </c>
      <c r="BN57" s="91"/>
      <c r="BO57" s="91"/>
      <c r="BP57" s="68"/>
      <c r="BQ57" s="68">
        <f t="shared" si="88"/>
        <v>29305</v>
      </c>
      <c r="BR57" s="91"/>
      <c r="BS57" s="91"/>
      <c r="BT57" s="68">
        <f>BP57+BR57-BS57</f>
        <v>0</v>
      </c>
      <c r="BU57" s="68">
        <f t="shared" si="89"/>
        <v>29305</v>
      </c>
      <c r="BV57" s="91"/>
      <c r="BW57" s="91"/>
      <c r="BX57" s="68">
        <f>BT57+BV57-BW57</f>
        <v>0</v>
      </c>
      <c r="BY57" s="68">
        <f t="shared" si="90"/>
        <v>29305</v>
      </c>
      <c r="BZ57" s="91"/>
      <c r="CA57" s="91">
        <v>14390</v>
      </c>
      <c r="CB57" s="68"/>
      <c r="CC57" s="68">
        <f t="shared" si="91"/>
        <v>43695</v>
      </c>
      <c r="CD57" s="91"/>
      <c r="CE57" s="91">
        <v>12760</v>
      </c>
      <c r="CF57" s="68"/>
      <c r="CG57" s="68">
        <f t="shared" si="92"/>
        <v>56455</v>
      </c>
      <c r="CH57" s="91"/>
      <c r="CI57" s="91">
        <v>18150</v>
      </c>
      <c r="CJ57" s="68"/>
      <c r="CK57" s="68">
        <f t="shared" si="93"/>
        <v>74605</v>
      </c>
      <c r="CL57" s="91"/>
      <c r="CM57" s="91">
        <v>19800</v>
      </c>
      <c r="CN57" s="68"/>
      <c r="CO57" s="68">
        <f t="shared" si="94"/>
        <v>94405</v>
      </c>
      <c r="CP57" s="91"/>
      <c r="CQ57" s="91">
        <v>21020</v>
      </c>
      <c r="CR57" s="68"/>
      <c r="CS57" s="68">
        <f t="shared" si="95"/>
        <v>115425</v>
      </c>
      <c r="CT57" s="91"/>
      <c r="CU57" s="91"/>
      <c r="CV57" s="68"/>
      <c r="CW57" s="68">
        <f t="shared" si="98"/>
        <v>115425</v>
      </c>
    </row>
    <row r="58" spans="1:129" x14ac:dyDescent="0.5">
      <c r="A58" s="67">
        <v>53</v>
      </c>
      <c r="B58" s="81" t="s">
        <v>164</v>
      </c>
      <c r="C58" s="67"/>
      <c r="D58" s="68"/>
      <c r="E58" s="68"/>
      <c r="F58" s="91"/>
      <c r="G58" s="91">
        <v>580</v>
      </c>
      <c r="H58" s="68"/>
      <c r="I58" s="68">
        <f>+G58</f>
        <v>580</v>
      </c>
      <c r="J58" s="91"/>
      <c r="K58" s="91">
        <f>21700+2030</f>
        <v>23730</v>
      </c>
      <c r="L58" s="68"/>
      <c r="M58" s="68">
        <f>+I58+K58-J58</f>
        <v>24310</v>
      </c>
      <c r="N58" s="119"/>
      <c r="O58" s="119">
        <f>900+41940+420+8670+2700</f>
        <v>54630</v>
      </c>
      <c r="P58" s="68"/>
      <c r="Q58" s="68">
        <f t="shared" si="79"/>
        <v>78940</v>
      </c>
      <c r="R58" s="91"/>
      <c r="S58" s="91">
        <v>290</v>
      </c>
      <c r="T58" s="68"/>
      <c r="U58" s="68">
        <f t="shared" si="80"/>
        <v>79230</v>
      </c>
      <c r="V58" s="91"/>
      <c r="W58" s="91"/>
      <c r="X58" s="68"/>
      <c r="Y58" s="68">
        <f t="shared" si="81"/>
        <v>79230</v>
      </c>
      <c r="Z58" s="91"/>
      <c r="AA58" s="91">
        <v>3130</v>
      </c>
      <c r="AB58" s="68"/>
      <c r="AC58" s="68">
        <f t="shared" si="82"/>
        <v>82360</v>
      </c>
      <c r="AD58" s="91"/>
      <c r="AE58" s="91">
        <v>290</v>
      </c>
      <c r="AF58" s="68"/>
      <c r="AG58" s="68">
        <f t="shared" si="83"/>
        <v>82650</v>
      </c>
      <c r="AH58" s="91"/>
      <c r="AI58" s="91">
        <v>290</v>
      </c>
      <c r="AJ58" s="68"/>
      <c r="AK58" s="68">
        <f t="shared" si="84"/>
        <v>82940</v>
      </c>
      <c r="AL58" s="91"/>
      <c r="AM58" s="91"/>
      <c r="AN58" s="68"/>
      <c r="AO58" s="68">
        <f t="shared" si="97"/>
        <v>82940</v>
      </c>
      <c r="AP58" s="91"/>
      <c r="AQ58" s="91">
        <f>1160+1270</f>
        <v>2430</v>
      </c>
      <c r="AR58" s="68">
        <v>0</v>
      </c>
      <c r="AS58" s="68">
        <f t="shared" si="85"/>
        <v>85370</v>
      </c>
      <c r="AT58" s="91"/>
      <c r="AU58" s="91">
        <f>290+1230</f>
        <v>1520</v>
      </c>
      <c r="AV58" s="68"/>
      <c r="AW58" s="68">
        <f t="shared" si="86"/>
        <v>86890</v>
      </c>
      <c r="AX58" s="91"/>
      <c r="AY58" s="91"/>
      <c r="AZ58" s="152"/>
      <c r="BA58" s="152"/>
      <c r="BB58" s="91"/>
      <c r="BC58" s="91"/>
      <c r="BD58" s="68"/>
      <c r="BE58" s="68">
        <f t="shared" si="53"/>
        <v>0</v>
      </c>
      <c r="BF58" s="91"/>
      <c r="BG58" s="91">
        <v>720</v>
      </c>
      <c r="BH58" s="68"/>
      <c r="BI58" s="68">
        <f t="shared" si="54"/>
        <v>720</v>
      </c>
      <c r="BJ58" s="91"/>
      <c r="BK58" s="91"/>
      <c r="BL58" s="68"/>
      <c r="BM58" s="68">
        <f t="shared" si="87"/>
        <v>720</v>
      </c>
      <c r="BN58" s="91"/>
      <c r="BO58" s="91">
        <v>9220</v>
      </c>
      <c r="BP58" s="68"/>
      <c r="BQ58" s="68">
        <f t="shared" si="88"/>
        <v>9940</v>
      </c>
      <c r="BR58" s="91"/>
      <c r="BS58" s="91">
        <v>1100</v>
      </c>
      <c r="BT58" s="68"/>
      <c r="BU58" s="68">
        <f t="shared" si="89"/>
        <v>11040</v>
      </c>
      <c r="BV58" s="91"/>
      <c r="BW58" s="91">
        <v>10100</v>
      </c>
      <c r="BX58" s="68"/>
      <c r="BY58" s="68">
        <f t="shared" si="90"/>
        <v>21140</v>
      </c>
      <c r="BZ58" s="91"/>
      <c r="CA58" s="91">
        <v>520</v>
      </c>
      <c r="CB58" s="68"/>
      <c r="CC58" s="68">
        <f t="shared" si="91"/>
        <v>21660</v>
      </c>
      <c r="CD58" s="91"/>
      <c r="CE58" s="91">
        <v>2130</v>
      </c>
      <c r="CF58" s="68"/>
      <c r="CG58" s="68">
        <f t="shared" si="92"/>
        <v>23790</v>
      </c>
      <c r="CH58" s="91"/>
      <c r="CI58" s="91">
        <v>5400</v>
      </c>
      <c r="CJ58" s="68"/>
      <c r="CK58" s="68">
        <f t="shared" si="93"/>
        <v>29190</v>
      </c>
      <c r="CL58" s="91"/>
      <c r="CM58" s="91">
        <v>3380</v>
      </c>
      <c r="CN58" s="68"/>
      <c r="CO58" s="68">
        <f t="shared" si="94"/>
        <v>32570</v>
      </c>
      <c r="CP58" s="91"/>
      <c r="CQ58" s="91">
        <v>3990</v>
      </c>
      <c r="CR58" s="68"/>
      <c r="CS58" s="68">
        <f t="shared" si="95"/>
        <v>36560</v>
      </c>
      <c r="CT58" s="91"/>
      <c r="CU58" s="91"/>
      <c r="CV58" s="68"/>
      <c r="CW58" s="68">
        <f t="shared" si="98"/>
        <v>36560</v>
      </c>
    </row>
    <row r="59" spans="1:129" x14ac:dyDescent="0.5">
      <c r="A59" s="67">
        <v>54</v>
      </c>
      <c r="B59" s="81" t="s">
        <v>191</v>
      </c>
      <c r="C59" s="67"/>
      <c r="D59" s="68"/>
      <c r="E59" s="68"/>
      <c r="F59" s="91"/>
      <c r="G59" s="91"/>
      <c r="H59" s="68"/>
      <c r="I59" s="68"/>
      <c r="J59" s="91"/>
      <c r="K59" s="91"/>
      <c r="L59" s="68"/>
      <c r="M59" s="68"/>
      <c r="N59" s="119"/>
      <c r="O59" s="119"/>
      <c r="P59" s="68"/>
      <c r="Q59" s="68"/>
      <c r="R59" s="91"/>
      <c r="S59" s="91"/>
      <c r="T59" s="68"/>
      <c r="U59" s="68"/>
      <c r="V59" s="91"/>
      <c r="W59" s="91"/>
      <c r="X59" s="68"/>
      <c r="Y59" s="68"/>
      <c r="Z59" s="91"/>
      <c r="AA59" s="91"/>
      <c r="AB59" s="68"/>
      <c r="AC59" s="68"/>
      <c r="AD59" s="91"/>
      <c r="AE59" s="91"/>
      <c r="AF59" s="68"/>
      <c r="AG59" s="68"/>
      <c r="AH59" s="91"/>
      <c r="AI59" s="91"/>
      <c r="AJ59" s="68"/>
      <c r="AK59" s="68"/>
      <c r="AL59" s="91"/>
      <c r="AM59" s="91"/>
      <c r="AN59" s="68"/>
      <c r="AO59" s="68"/>
      <c r="AP59" s="91"/>
      <c r="AQ59" s="91"/>
      <c r="AR59" s="68"/>
      <c r="AS59" s="68"/>
      <c r="AT59" s="91"/>
      <c r="AU59" s="91"/>
      <c r="AV59" s="68"/>
      <c r="AW59" s="68"/>
      <c r="AX59" s="91"/>
      <c r="AY59" s="91"/>
      <c r="AZ59" s="152"/>
      <c r="BA59" s="152"/>
      <c r="BB59" s="91"/>
      <c r="BC59" s="91"/>
      <c r="BD59" s="68"/>
      <c r="BE59" s="68"/>
      <c r="BF59" s="91"/>
      <c r="BG59" s="91"/>
      <c r="BH59" s="68"/>
      <c r="BI59" s="68"/>
      <c r="BJ59" s="91"/>
      <c r="BK59" s="91"/>
      <c r="BL59" s="68"/>
      <c r="BM59" s="68"/>
      <c r="BN59" s="91"/>
      <c r="BO59" s="91"/>
      <c r="BP59" s="68"/>
      <c r="BQ59" s="68"/>
      <c r="BR59" s="91"/>
      <c r="BS59" s="91">
        <v>60</v>
      </c>
      <c r="BT59" s="68"/>
      <c r="BU59" s="68">
        <f>BQ59+BS59-BR59</f>
        <v>60</v>
      </c>
      <c r="BV59" s="91"/>
      <c r="BW59" s="91">
        <v>40</v>
      </c>
      <c r="BX59" s="68"/>
      <c r="BY59" s="68">
        <f>BU59+BW59-BV59</f>
        <v>100</v>
      </c>
      <c r="BZ59" s="91"/>
      <c r="CA59" s="91">
        <v>40</v>
      </c>
      <c r="CB59" s="68"/>
      <c r="CC59" s="68">
        <f>BY59+CA59-BZ59</f>
        <v>140</v>
      </c>
      <c r="CD59" s="91"/>
      <c r="CE59" s="91">
        <v>320</v>
      </c>
      <c r="CF59" s="68"/>
      <c r="CG59" s="68">
        <f>CC59+CE59-CD59</f>
        <v>460</v>
      </c>
      <c r="CH59" s="91"/>
      <c r="CI59" s="91">
        <v>40</v>
      </c>
      <c r="CJ59" s="68"/>
      <c r="CK59" s="68">
        <f>CG59+CI59-CH59</f>
        <v>500</v>
      </c>
      <c r="CL59" s="91"/>
      <c r="CM59" s="91">
        <v>160</v>
      </c>
      <c r="CN59" s="68"/>
      <c r="CO59" s="68">
        <f>CK59+CM59-CL59</f>
        <v>660</v>
      </c>
      <c r="CP59" s="91"/>
      <c r="CQ59" s="91">
        <v>60</v>
      </c>
      <c r="CR59" s="68"/>
      <c r="CS59" s="68">
        <f>CO59+CQ59-CP59</f>
        <v>720</v>
      </c>
      <c r="CT59" s="91"/>
      <c r="CU59" s="91">
        <v>40</v>
      </c>
      <c r="CV59" s="68"/>
      <c r="CW59" s="68">
        <f>CS59+CU59-CT59</f>
        <v>760</v>
      </c>
    </row>
    <row r="60" spans="1:129" ht="24" x14ac:dyDescent="0.55000000000000004">
      <c r="A60" s="67">
        <v>55</v>
      </c>
      <c r="B60" s="81" t="s">
        <v>68</v>
      </c>
      <c r="C60" s="67">
        <v>271</v>
      </c>
      <c r="D60" s="68">
        <f>+'กระดาษทำการ 30 เม.ย.58'!BP60</f>
        <v>0</v>
      </c>
      <c r="E60" s="68">
        <f>+'กระดาษทำการ 30 เม.ย.58'!BQ60</f>
        <v>0</v>
      </c>
      <c r="F60" s="91"/>
      <c r="G60" s="91"/>
      <c r="H60" s="68">
        <f>+D60+F60-G60</f>
        <v>0</v>
      </c>
      <c r="I60" s="68"/>
      <c r="J60" s="91"/>
      <c r="K60" s="91"/>
      <c r="L60" s="68"/>
      <c r="M60" s="68">
        <f t="shared" ref="M60:M65" si="99">+I60-J60+K60</f>
        <v>0</v>
      </c>
      <c r="N60" s="91"/>
      <c r="O60" s="91"/>
      <c r="P60" s="68"/>
      <c r="Q60" s="68">
        <f t="shared" ref="Q60:Q65" si="100">+M60+O60-N60</f>
        <v>0</v>
      </c>
      <c r="R60" s="91"/>
      <c r="S60" s="91"/>
      <c r="T60" s="68"/>
      <c r="U60" s="68">
        <f t="shared" ref="U60:U65" si="101">+Q60+S60-R60</f>
        <v>0</v>
      </c>
      <c r="V60" s="91"/>
      <c r="W60" s="91"/>
      <c r="X60" s="68"/>
      <c r="Y60" s="68">
        <f>+U60+W60-V60</f>
        <v>0</v>
      </c>
      <c r="Z60" s="92"/>
      <c r="AA60" s="92">
        <f>60+200</f>
        <v>260</v>
      </c>
      <c r="AB60" s="68"/>
      <c r="AC60" s="68">
        <f t="shared" ref="AC60:AC65" si="102">+Y60+AA60-Z60</f>
        <v>260</v>
      </c>
      <c r="AD60" s="91"/>
      <c r="AE60" s="91">
        <v>20</v>
      </c>
      <c r="AF60" s="68"/>
      <c r="AG60" s="68">
        <f t="shared" ref="AG60:AG65" si="103">+AC60+AE60-AD60</f>
        <v>280</v>
      </c>
      <c r="AH60" s="91"/>
      <c r="AI60" s="91">
        <v>400</v>
      </c>
      <c r="AJ60" s="68"/>
      <c r="AK60" s="68">
        <f t="shared" ref="AK60:AK65" si="104">+AG60+AI60-AH60</f>
        <v>680</v>
      </c>
      <c r="AL60" s="91"/>
      <c r="AM60" s="91">
        <v>40</v>
      </c>
      <c r="AN60" s="68"/>
      <c r="AO60" s="68">
        <f>+AK60+AM60-AL60</f>
        <v>720</v>
      </c>
      <c r="AP60" s="91"/>
      <c r="AQ60" s="91"/>
      <c r="AR60" s="68">
        <f>+AN60+AP60-AQ60</f>
        <v>0</v>
      </c>
      <c r="AS60" s="68">
        <f t="shared" ref="AS60:AS65" si="105">+AO60+AQ60-AP60</f>
        <v>720</v>
      </c>
      <c r="AT60" s="91"/>
      <c r="AU60" s="91"/>
      <c r="AV60" s="68"/>
      <c r="AW60" s="68">
        <f t="shared" ref="AW60:AW65" si="106">+AS60+AU60-AT60</f>
        <v>720</v>
      </c>
      <c r="AX60" s="91"/>
      <c r="AY60" s="91"/>
      <c r="AZ60" s="152"/>
      <c r="BA60" s="152"/>
      <c r="BB60" s="91"/>
      <c r="BC60" s="91"/>
      <c r="BD60" s="68"/>
      <c r="BE60" s="68">
        <f t="shared" ref="BE60:BE65" si="107">+BA60+BC60-BB60</f>
        <v>0</v>
      </c>
      <c r="BF60" s="91"/>
      <c r="BG60" s="91"/>
      <c r="BH60" s="68"/>
      <c r="BI60" s="68">
        <f t="shared" ref="BI60:BI65" si="108">+BE60+BG60-BF60</f>
        <v>0</v>
      </c>
      <c r="BJ60" s="91"/>
      <c r="BK60" s="91"/>
      <c r="BL60" s="68"/>
      <c r="BM60" s="68">
        <f t="shared" ref="BM60:BM65" si="109">+BI60+BK60-BJ60</f>
        <v>0</v>
      </c>
      <c r="BN60" s="91"/>
      <c r="BO60" s="91"/>
      <c r="BP60" s="68"/>
      <c r="BQ60" s="68">
        <f t="shared" ref="BQ60:BQ65" si="110">+BM60+BO60-BN60</f>
        <v>0</v>
      </c>
      <c r="BR60" s="91"/>
      <c r="BS60" s="91"/>
      <c r="BT60" s="68">
        <f>BP60+BR60-BS60</f>
        <v>0</v>
      </c>
      <c r="BU60" s="68">
        <f t="shared" ref="BU60:BU65" si="111">+BQ60+BS60-BR60</f>
        <v>0</v>
      </c>
      <c r="BV60" s="91"/>
      <c r="BW60" s="91"/>
      <c r="BX60" s="68">
        <f>BT60+BV60-BW60</f>
        <v>0</v>
      </c>
      <c r="BY60" s="68">
        <f t="shared" ref="BY60:BY65" si="112">+BU60+BW60-BV60</f>
        <v>0</v>
      </c>
      <c r="BZ60" s="91"/>
      <c r="CA60" s="91"/>
      <c r="CB60" s="68">
        <f>BX60+BZ60-CA60</f>
        <v>0</v>
      </c>
      <c r="CC60" s="68">
        <f t="shared" ref="CC60:CC65" si="113">+BY60+CA60-BZ60</f>
        <v>0</v>
      </c>
      <c r="CD60" s="91"/>
      <c r="CE60" s="91">
        <v>700</v>
      </c>
      <c r="CF60" s="68"/>
      <c r="CG60" s="68">
        <f t="shared" ref="CG60:CG65" si="114">+CC60+CE60-CD60</f>
        <v>700</v>
      </c>
      <c r="CH60" s="91"/>
      <c r="CI60" s="91"/>
      <c r="CJ60" s="68"/>
      <c r="CK60" s="68">
        <f t="shared" ref="CK60:CK65" si="115">+CG60+CI60-CH60</f>
        <v>700</v>
      </c>
      <c r="CL60" s="91"/>
      <c r="CM60" s="91"/>
      <c r="CN60" s="68"/>
      <c r="CO60" s="68">
        <f t="shared" ref="CO60:CO65" si="116">+CK60+CM60-CL60</f>
        <v>700</v>
      </c>
      <c r="CP60" s="91"/>
      <c r="CQ60" s="91"/>
      <c r="CR60" s="68"/>
      <c r="CS60" s="68">
        <f t="shared" ref="CS60:CS65" si="117">+CO60+CQ60-CP60</f>
        <v>700</v>
      </c>
      <c r="CT60" s="91"/>
      <c r="CU60" s="91"/>
      <c r="CV60" s="68"/>
      <c r="CW60" s="68">
        <f t="shared" ref="CW60:CW65" si="118">+CS60+CU60-CT60</f>
        <v>700</v>
      </c>
    </row>
    <row r="61" spans="1:129" x14ac:dyDescent="0.5">
      <c r="A61" s="67">
        <v>56</v>
      </c>
      <c r="B61" s="82" t="s">
        <v>69</v>
      </c>
      <c r="C61" s="67">
        <v>275</v>
      </c>
      <c r="D61" s="68">
        <f>+'กระดาษทำการ 30 เม.ย.58'!BP61</f>
        <v>0</v>
      </c>
      <c r="E61" s="68">
        <f>+'กระดาษทำการ 30 เม.ย.58'!BQ61</f>
        <v>0</v>
      </c>
      <c r="F61" s="91"/>
      <c r="G61" s="91"/>
      <c r="H61" s="68">
        <f>+D61+F61-G61</f>
        <v>0</v>
      </c>
      <c r="I61" s="68"/>
      <c r="J61" s="91"/>
      <c r="K61" s="91"/>
      <c r="L61" s="68"/>
      <c r="M61" s="68">
        <f t="shared" si="99"/>
        <v>0</v>
      </c>
      <c r="N61" s="91"/>
      <c r="O61" s="91"/>
      <c r="P61" s="68"/>
      <c r="Q61" s="68">
        <f t="shared" si="100"/>
        <v>0</v>
      </c>
      <c r="R61" s="91"/>
      <c r="S61" s="91"/>
      <c r="T61" s="68"/>
      <c r="U61" s="68">
        <f t="shared" si="101"/>
        <v>0</v>
      </c>
      <c r="V61" s="91"/>
      <c r="W61" s="91"/>
      <c r="X61" s="68"/>
      <c r="Y61" s="68">
        <f>+U61+W61-V61</f>
        <v>0</v>
      </c>
      <c r="Z61" s="91"/>
      <c r="AA61" s="91"/>
      <c r="AB61" s="68"/>
      <c r="AC61" s="68">
        <f t="shared" si="102"/>
        <v>0</v>
      </c>
      <c r="AD61" s="91"/>
      <c r="AE61" s="91"/>
      <c r="AF61" s="68"/>
      <c r="AG61" s="68">
        <f t="shared" si="103"/>
        <v>0</v>
      </c>
      <c r="AH61" s="91"/>
      <c r="AI61" s="91"/>
      <c r="AJ61" s="68"/>
      <c r="AK61" s="68">
        <f t="shared" si="104"/>
        <v>0</v>
      </c>
      <c r="AL61" s="91"/>
      <c r="AM61" s="91"/>
      <c r="AN61" s="68"/>
      <c r="AO61" s="68">
        <f>+AK61+AM61-AL61</f>
        <v>0</v>
      </c>
      <c r="AP61" s="91"/>
      <c r="AQ61" s="91">
        <v>8200</v>
      </c>
      <c r="AR61" s="68">
        <v>0</v>
      </c>
      <c r="AS61" s="68">
        <f t="shared" si="105"/>
        <v>8200</v>
      </c>
      <c r="AT61" s="91"/>
      <c r="AU61" s="91"/>
      <c r="AV61" s="68"/>
      <c r="AW61" s="68">
        <f t="shared" si="106"/>
        <v>8200</v>
      </c>
      <c r="AX61" s="91"/>
      <c r="AY61" s="91"/>
      <c r="AZ61" s="152"/>
      <c r="BA61" s="152"/>
      <c r="BB61" s="91"/>
      <c r="BC61" s="91"/>
      <c r="BD61" s="68"/>
      <c r="BE61" s="68">
        <f t="shared" si="107"/>
        <v>0</v>
      </c>
      <c r="BF61" s="91"/>
      <c r="BG61" s="91"/>
      <c r="BH61" s="68"/>
      <c r="BI61" s="68">
        <f t="shared" si="108"/>
        <v>0</v>
      </c>
      <c r="BJ61" s="91"/>
      <c r="BK61" s="91"/>
      <c r="BL61" s="68"/>
      <c r="BM61" s="68">
        <f t="shared" si="109"/>
        <v>0</v>
      </c>
      <c r="BN61" s="91"/>
      <c r="BO61" s="91"/>
      <c r="BP61" s="68"/>
      <c r="BQ61" s="68">
        <f t="shared" si="110"/>
        <v>0</v>
      </c>
      <c r="BR61" s="91"/>
      <c r="BS61" s="91"/>
      <c r="BT61" s="68">
        <f>BP61+BR61-BS61</f>
        <v>0</v>
      </c>
      <c r="BU61" s="68">
        <f t="shared" si="111"/>
        <v>0</v>
      </c>
      <c r="BV61" s="91"/>
      <c r="BW61" s="91"/>
      <c r="BX61" s="68">
        <f>BT61+BV61-BW61</f>
        <v>0</v>
      </c>
      <c r="BY61" s="68">
        <f t="shared" si="112"/>
        <v>0</v>
      </c>
      <c r="BZ61" s="91"/>
      <c r="CA61" s="91"/>
      <c r="CB61" s="68">
        <f>BX61+BZ61-CA61</f>
        <v>0</v>
      </c>
      <c r="CC61" s="68">
        <f t="shared" si="113"/>
        <v>0</v>
      </c>
      <c r="CD61" s="91"/>
      <c r="CE61" s="91"/>
      <c r="CF61" s="68">
        <f>CB61+CD61-CE61</f>
        <v>0</v>
      </c>
      <c r="CG61" s="68">
        <f t="shared" si="114"/>
        <v>0</v>
      </c>
      <c r="CH61" s="91"/>
      <c r="CI61" s="91"/>
      <c r="CJ61" s="68">
        <f>CF61+CH61-CI61</f>
        <v>0</v>
      </c>
      <c r="CK61" s="68">
        <f t="shared" si="115"/>
        <v>0</v>
      </c>
      <c r="CL61" s="91"/>
      <c r="CM61" s="91"/>
      <c r="CN61" s="68">
        <f>CJ61+CL61-CM61</f>
        <v>0</v>
      </c>
      <c r="CO61" s="68">
        <f t="shared" si="116"/>
        <v>0</v>
      </c>
      <c r="CP61" s="91"/>
      <c r="CQ61" s="91"/>
      <c r="CR61" s="68">
        <f>CN61+CP61-CQ61</f>
        <v>0</v>
      </c>
      <c r="CS61" s="68">
        <f t="shared" si="117"/>
        <v>0</v>
      </c>
      <c r="CT61" s="91"/>
      <c r="CU61" s="91"/>
      <c r="CV61" s="68">
        <f>CR61+CT61-CU61</f>
        <v>0</v>
      </c>
      <c r="CW61" s="68">
        <f t="shared" si="118"/>
        <v>0</v>
      </c>
    </row>
    <row r="62" spans="1:129" x14ac:dyDescent="0.5">
      <c r="A62" s="67">
        <v>57</v>
      </c>
      <c r="B62" s="81" t="s">
        <v>70</v>
      </c>
      <c r="C62" s="67">
        <v>277</v>
      </c>
      <c r="D62" s="68">
        <f>+'กระดาษทำการ 30 เม.ย.58'!BP62</f>
        <v>0</v>
      </c>
      <c r="E62" s="68">
        <f>+'กระดาษทำการ 30 เม.ย.58'!BQ62</f>
        <v>0</v>
      </c>
      <c r="F62" s="91"/>
      <c r="G62" s="91"/>
      <c r="H62" s="68">
        <f>+D62+F62-G62</f>
        <v>0</v>
      </c>
      <c r="I62" s="68"/>
      <c r="J62" s="91"/>
      <c r="K62" s="91"/>
      <c r="L62" s="68"/>
      <c r="M62" s="68">
        <f t="shared" si="99"/>
        <v>0</v>
      </c>
      <c r="N62" s="91"/>
      <c r="O62" s="91"/>
      <c r="P62" s="68"/>
      <c r="Q62" s="68">
        <f t="shared" si="100"/>
        <v>0</v>
      </c>
      <c r="R62" s="91"/>
      <c r="S62" s="91"/>
      <c r="T62" s="68"/>
      <c r="U62" s="68">
        <f t="shared" si="101"/>
        <v>0</v>
      </c>
      <c r="V62" s="91"/>
      <c r="W62" s="91"/>
      <c r="X62" s="68"/>
      <c r="Y62" s="68">
        <f>+U62+W62-V62</f>
        <v>0</v>
      </c>
      <c r="Z62" s="91"/>
      <c r="AA62" s="91"/>
      <c r="AB62" s="68"/>
      <c r="AC62" s="68">
        <f t="shared" si="102"/>
        <v>0</v>
      </c>
      <c r="AD62" s="91"/>
      <c r="AE62" s="91"/>
      <c r="AF62" s="68"/>
      <c r="AG62" s="68">
        <f t="shared" si="103"/>
        <v>0</v>
      </c>
      <c r="AH62" s="91"/>
      <c r="AI62" s="91"/>
      <c r="AJ62" s="68"/>
      <c r="AK62" s="68">
        <f t="shared" si="104"/>
        <v>0</v>
      </c>
      <c r="AL62" s="91"/>
      <c r="AM62" s="91"/>
      <c r="AN62" s="68"/>
      <c r="AO62" s="68">
        <f>+AK62+AM62-AL62</f>
        <v>0</v>
      </c>
      <c r="AP62" s="91"/>
      <c r="AQ62" s="91"/>
      <c r="AR62" s="68">
        <f t="shared" ref="AR62:AR72" si="119">+AN62+AP62-AQ62</f>
        <v>0</v>
      </c>
      <c r="AS62" s="68">
        <f t="shared" si="105"/>
        <v>0</v>
      </c>
      <c r="AT62" s="91"/>
      <c r="AU62" s="91"/>
      <c r="AV62" s="68"/>
      <c r="AW62" s="68">
        <f t="shared" si="106"/>
        <v>0</v>
      </c>
      <c r="AX62" s="91"/>
      <c r="AY62" s="91"/>
      <c r="AZ62" s="152"/>
      <c r="BA62" s="152"/>
      <c r="BB62" s="91"/>
      <c r="BC62" s="91"/>
      <c r="BD62" s="68"/>
      <c r="BE62" s="68">
        <f t="shared" si="107"/>
        <v>0</v>
      </c>
      <c r="BF62" s="91"/>
      <c r="BG62" s="91"/>
      <c r="BH62" s="68"/>
      <c r="BI62" s="68">
        <f t="shared" si="108"/>
        <v>0</v>
      </c>
      <c r="BJ62" s="91"/>
      <c r="BK62" s="91"/>
      <c r="BL62" s="68"/>
      <c r="BM62" s="68">
        <f t="shared" si="109"/>
        <v>0</v>
      </c>
      <c r="BN62" s="91"/>
      <c r="BO62" s="91"/>
      <c r="BP62" s="68"/>
      <c r="BQ62" s="68">
        <f t="shared" si="110"/>
        <v>0</v>
      </c>
      <c r="BR62" s="91"/>
      <c r="BS62" s="91"/>
      <c r="BT62" s="68">
        <f>BP62+BR62-BS62</f>
        <v>0</v>
      </c>
      <c r="BU62" s="68">
        <f t="shared" si="111"/>
        <v>0</v>
      </c>
      <c r="BV62" s="91"/>
      <c r="BW62" s="91"/>
      <c r="BX62" s="68">
        <f>BT62+BV62-BW62</f>
        <v>0</v>
      </c>
      <c r="BY62" s="68">
        <f t="shared" si="112"/>
        <v>0</v>
      </c>
      <c r="BZ62" s="91"/>
      <c r="CA62" s="91"/>
      <c r="CB62" s="68">
        <f>BX62+BZ62-CA62</f>
        <v>0</v>
      </c>
      <c r="CC62" s="68">
        <f t="shared" si="113"/>
        <v>0</v>
      </c>
      <c r="CD62" s="91"/>
      <c r="CE62" s="91"/>
      <c r="CF62" s="68">
        <f>CB62+CD62-CE62</f>
        <v>0</v>
      </c>
      <c r="CG62" s="68">
        <f t="shared" si="114"/>
        <v>0</v>
      </c>
      <c r="CH62" s="91"/>
      <c r="CI62" s="91"/>
      <c r="CJ62" s="68">
        <f>CF62+CH62-CI62</f>
        <v>0</v>
      </c>
      <c r="CK62" s="68">
        <f t="shared" si="115"/>
        <v>0</v>
      </c>
      <c r="CL62" s="91"/>
      <c r="CM62" s="91"/>
      <c r="CN62" s="68">
        <f>CJ62+CL62-CM62</f>
        <v>0</v>
      </c>
      <c r="CO62" s="68">
        <f t="shared" si="116"/>
        <v>0</v>
      </c>
      <c r="CP62" s="91"/>
      <c r="CQ62" s="91"/>
      <c r="CR62" s="68">
        <f>CN62+CP62-CQ62</f>
        <v>0</v>
      </c>
      <c r="CS62" s="68">
        <f t="shared" si="117"/>
        <v>0</v>
      </c>
      <c r="CT62" s="91"/>
      <c r="CU62" s="91"/>
      <c r="CV62" s="68">
        <f>CR62+CT62-CU62</f>
        <v>0</v>
      </c>
      <c r="CW62" s="68">
        <f t="shared" si="118"/>
        <v>0</v>
      </c>
    </row>
    <row r="63" spans="1:129" s="124" customFormat="1" ht="24" x14ac:dyDescent="0.55000000000000004">
      <c r="A63" s="67">
        <v>58</v>
      </c>
      <c r="B63" s="81" t="s">
        <v>71</v>
      </c>
      <c r="C63" s="67">
        <v>279</v>
      </c>
      <c r="D63" s="68">
        <f>+'กระดาษทำการ 30 เม.ย.58'!BP63</f>
        <v>0</v>
      </c>
      <c r="E63" s="68">
        <f>+'กระดาษทำการ 30 เม.ย.58'!BQ63</f>
        <v>0</v>
      </c>
      <c r="F63" s="119"/>
      <c r="G63" s="119"/>
      <c r="H63" s="68"/>
      <c r="I63" s="68">
        <f>+G63</f>
        <v>0</v>
      </c>
      <c r="J63" s="91"/>
      <c r="K63" s="91"/>
      <c r="L63" s="68"/>
      <c r="M63" s="68">
        <f t="shared" si="99"/>
        <v>0</v>
      </c>
      <c r="N63" s="91"/>
      <c r="O63" s="91"/>
      <c r="P63" s="68"/>
      <c r="Q63" s="68">
        <f t="shared" si="100"/>
        <v>0</v>
      </c>
      <c r="R63" s="91"/>
      <c r="S63" s="91"/>
      <c r="T63" s="68"/>
      <c r="U63" s="68">
        <f t="shared" si="101"/>
        <v>0</v>
      </c>
      <c r="V63" s="92"/>
      <c r="W63" s="92">
        <v>413.88</v>
      </c>
      <c r="X63" s="68"/>
      <c r="Y63" s="68">
        <f>+U63+W63-V63</f>
        <v>413.88</v>
      </c>
      <c r="Z63" s="91"/>
      <c r="AA63" s="91"/>
      <c r="AB63" s="68"/>
      <c r="AC63" s="68">
        <f t="shared" si="102"/>
        <v>413.88</v>
      </c>
      <c r="AD63" s="91"/>
      <c r="AE63" s="91"/>
      <c r="AF63" s="68"/>
      <c r="AG63" s="68">
        <f t="shared" si="103"/>
        <v>413.88</v>
      </c>
      <c r="AH63" s="91"/>
      <c r="AI63" s="91"/>
      <c r="AJ63" s="68"/>
      <c r="AK63" s="68">
        <f t="shared" si="104"/>
        <v>413.88</v>
      </c>
      <c r="AL63" s="91"/>
      <c r="AM63" s="91"/>
      <c r="AN63" s="68"/>
      <c r="AO63" s="68">
        <f>+AK63+AM63-AL63</f>
        <v>413.88</v>
      </c>
      <c r="AP63" s="91"/>
      <c r="AQ63" s="91"/>
      <c r="AR63" s="68">
        <f t="shared" si="119"/>
        <v>0</v>
      </c>
      <c r="AS63" s="68">
        <f t="shared" si="105"/>
        <v>413.88</v>
      </c>
      <c r="AT63" s="91"/>
      <c r="AU63" s="91">
        <v>315.8</v>
      </c>
      <c r="AV63" s="68"/>
      <c r="AW63" s="68">
        <f t="shared" si="106"/>
        <v>729.68000000000006</v>
      </c>
      <c r="AX63" s="91"/>
      <c r="AY63" s="91"/>
      <c r="AZ63" s="152"/>
      <c r="BA63" s="152"/>
      <c r="BB63" s="91"/>
      <c r="BC63" s="91"/>
      <c r="BD63" s="68"/>
      <c r="BE63" s="68">
        <f t="shared" si="107"/>
        <v>0</v>
      </c>
      <c r="BF63" s="91"/>
      <c r="BG63" s="91">
        <v>48.93</v>
      </c>
      <c r="BH63" s="68"/>
      <c r="BI63" s="68">
        <f t="shared" si="108"/>
        <v>48.93</v>
      </c>
      <c r="BJ63" s="91"/>
      <c r="BK63" s="91"/>
      <c r="BL63" s="68"/>
      <c r="BM63" s="68">
        <f t="shared" si="109"/>
        <v>48.93</v>
      </c>
      <c r="BN63" s="91"/>
      <c r="BO63" s="91"/>
      <c r="BP63" s="68"/>
      <c r="BQ63" s="68">
        <f t="shared" si="110"/>
        <v>48.93</v>
      </c>
      <c r="BR63" s="91"/>
      <c r="BS63" s="91">
        <v>879.35</v>
      </c>
      <c r="BT63" s="68"/>
      <c r="BU63" s="68">
        <f t="shared" si="111"/>
        <v>928.28</v>
      </c>
      <c r="BV63" s="91"/>
      <c r="BW63" s="91"/>
      <c r="BX63" s="68"/>
      <c r="BY63" s="68">
        <f t="shared" si="112"/>
        <v>928.28</v>
      </c>
      <c r="BZ63" s="91"/>
      <c r="CA63" s="91"/>
      <c r="CB63" s="68"/>
      <c r="CC63" s="68">
        <f t="shared" si="113"/>
        <v>928.28</v>
      </c>
      <c r="CD63" s="91"/>
      <c r="CE63" s="91">
        <v>1.43</v>
      </c>
      <c r="CF63" s="68"/>
      <c r="CG63" s="68">
        <f t="shared" si="114"/>
        <v>929.70999999999992</v>
      </c>
      <c r="CH63" s="91"/>
      <c r="CI63" s="91"/>
      <c r="CJ63" s="68"/>
      <c r="CK63" s="68">
        <f t="shared" si="115"/>
        <v>929.70999999999992</v>
      </c>
      <c r="CL63" s="91"/>
      <c r="CM63" s="91"/>
      <c r="CN63" s="68"/>
      <c r="CO63" s="68">
        <f t="shared" si="116"/>
        <v>929.70999999999992</v>
      </c>
      <c r="CP63" s="91"/>
      <c r="CQ63" s="91">
        <v>916.21</v>
      </c>
      <c r="CR63" s="68"/>
      <c r="CS63" s="68">
        <f t="shared" si="117"/>
        <v>1845.92</v>
      </c>
      <c r="CT63" s="91"/>
      <c r="CU63" s="91"/>
      <c r="CV63" s="68"/>
      <c r="CW63" s="68">
        <f t="shared" si="118"/>
        <v>1845.92</v>
      </c>
      <c r="DX63" s="2"/>
      <c r="DY63" s="2"/>
    </row>
    <row r="64" spans="1:129" x14ac:dyDescent="0.5">
      <c r="A64" s="67">
        <v>59</v>
      </c>
      <c r="B64" s="81" t="s">
        <v>10</v>
      </c>
      <c r="C64" s="67">
        <v>281</v>
      </c>
      <c r="D64" s="68">
        <f>+'กระดาษทำการ 30 เม.ย.58'!BP64</f>
        <v>0</v>
      </c>
      <c r="E64" s="68">
        <f>+'กระดาษทำการ 30 เม.ย.58'!BQ64</f>
        <v>0</v>
      </c>
      <c r="F64" s="91"/>
      <c r="G64" s="91"/>
      <c r="H64" s="68">
        <f t="shared" ref="H64:H72" si="120">+D64+F64-G64</f>
        <v>0</v>
      </c>
      <c r="I64" s="68"/>
      <c r="J64" s="91"/>
      <c r="K64" s="91"/>
      <c r="L64" s="68"/>
      <c r="M64" s="68">
        <f t="shared" si="99"/>
        <v>0</v>
      </c>
      <c r="N64" s="119"/>
      <c r="O64" s="119">
        <v>250</v>
      </c>
      <c r="P64" s="68"/>
      <c r="Q64" s="68">
        <f t="shared" si="100"/>
        <v>250</v>
      </c>
      <c r="R64" s="91"/>
      <c r="S64" s="91"/>
      <c r="T64" s="68"/>
      <c r="U64" s="68">
        <f t="shared" si="101"/>
        <v>250</v>
      </c>
      <c r="V64" s="91"/>
      <c r="W64" s="91"/>
      <c r="X64" s="68"/>
      <c r="Y64" s="68">
        <f>+U64+W64-V64</f>
        <v>250</v>
      </c>
      <c r="Z64" s="91"/>
      <c r="AA64" s="91"/>
      <c r="AB64" s="68"/>
      <c r="AC64" s="68">
        <f t="shared" si="102"/>
        <v>250</v>
      </c>
      <c r="AD64" s="91"/>
      <c r="AE64" s="91"/>
      <c r="AF64" s="68"/>
      <c r="AG64" s="68">
        <f t="shared" si="103"/>
        <v>250</v>
      </c>
      <c r="AH64" s="91"/>
      <c r="AI64" s="91"/>
      <c r="AJ64" s="68"/>
      <c r="AK64" s="68">
        <f t="shared" si="104"/>
        <v>250</v>
      </c>
      <c r="AL64" s="91"/>
      <c r="AM64" s="91">
        <v>150</v>
      </c>
      <c r="AN64" s="68"/>
      <c r="AO64" s="68">
        <f>+AK64+AM64</f>
        <v>400</v>
      </c>
      <c r="AP64" s="91"/>
      <c r="AQ64" s="91"/>
      <c r="AR64" s="68">
        <f t="shared" si="119"/>
        <v>0</v>
      </c>
      <c r="AS64" s="68">
        <f t="shared" si="105"/>
        <v>400</v>
      </c>
      <c r="AT64" s="91"/>
      <c r="AU64" s="91"/>
      <c r="AV64" s="68"/>
      <c r="AW64" s="68">
        <f t="shared" si="106"/>
        <v>400</v>
      </c>
      <c r="AX64" s="91"/>
      <c r="AY64" s="91">
        <v>150</v>
      </c>
      <c r="AZ64" s="152"/>
      <c r="BA64" s="152"/>
      <c r="BB64" s="91"/>
      <c r="BC64" s="91"/>
      <c r="BD64" s="68"/>
      <c r="BE64" s="68">
        <f t="shared" si="107"/>
        <v>0</v>
      </c>
      <c r="BF64" s="91"/>
      <c r="BG64" s="91"/>
      <c r="BH64" s="68"/>
      <c r="BI64" s="68">
        <f t="shared" si="108"/>
        <v>0</v>
      </c>
      <c r="BJ64" s="91"/>
      <c r="BK64" s="91"/>
      <c r="BL64" s="68"/>
      <c r="BM64" s="68">
        <f t="shared" si="109"/>
        <v>0</v>
      </c>
      <c r="BN64" s="91"/>
      <c r="BO64" s="91"/>
      <c r="BP64" s="68"/>
      <c r="BQ64" s="68">
        <f t="shared" si="110"/>
        <v>0</v>
      </c>
      <c r="BR64" s="91"/>
      <c r="BS64" s="91">
        <v>100</v>
      </c>
      <c r="BT64" s="68"/>
      <c r="BU64" s="68">
        <f t="shared" si="111"/>
        <v>100</v>
      </c>
      <c r="BV64" s="91"/>
      <c r="BW64" s="91">
        <v>50</v>
      </c>
      <c r="BX64" s="68"/>
      <c r="BY64" s="68">
        <f t="shared" si="112"/>
        <v>150</v>
      </c>
      <c r="BZ64" s="91"/>
      <c r="CA64" s="91">
        <v>50</v>
      </c>
      <c r="CB64" s="68"/>
      <c r="CC64" s="68">
        <f t="shared" si="113"/>
        <v>200</v>
      </c>
      <c r="CD64" s="91"/>
      <c r="CE64" s="91">
        <v>200</v>
      </c>
      <c r="CF64" s="68"/>
      <c r="CG64" s="68">
        <f t="shared" si="114"/>
        <v>400</v>
      </c>
      <c r="CH64" s="91"/>
      <c r="CI64" s="91">
        <v>50</v>
      </c>
      <c r="CJ64" s="68"/>
      <c r="CK64" s="68">
        <f t="shared" si="115"/>
        <v>450</v>
      </c>
      <c r="CL64" s="91"/>
      <c r="CM64" s="91">
        <v>200</v>
      </c>
      <c r="CN64" s="68"/>
      <c r="CO64" s="68">
        <f t="shared" si="116"/>
        <v>650</v>
      </c>
      <c r="CP64" s="91"/>
      <c r="CQ64" s="91"/>
      <c r="CR64" s="68"/>
      <c r="CS64" s="68">
        <f t="shared" si="117"/>
        <v>650</v>
      </c>
      <c r="CT64" s="91"/>
      <c r="CU64" s="91"/>
      <c r="CV64" s="68"/>
      <c r="CW64" s="68">
        <f t="shared" si="118"/>
        <v>650</v>
      </c>
    </row>
    <row r="65" spans="1:101" x14ac:dyDescent="0.5">
      <c r="A65" s="67">
        <v>60</v>
      </c>
      <c r="B65" s="81" t="s">
        <v>84</v>
      </c>
      <c r="C65" s="67"/>
      <c r="D65" s="68">
        <f>+'กระดาษทำการ 30 เม.ย.58'!BP65</f>
        <v>0</v>
      </c>
      <c r="E65" s="68">
        <f>+'กระดาษทำการ 30 เม.ย.58'!BQ65</f>
        <v>0</v>
      </c>
      <c r="F65" s="91"/>
      <c r="G65" s="91"/>
      <c r="H65" s="68">
        <f t="shared" si="120"/>
        <v>0</v>
      </c>
      <c r="I65" s="68"/>
      <c r="J65" s="91"/>
      <c r="K65" s="91"/>
      <c r="L65" s="68"/>
      <c r="M65" s="68">
        <f t="shared" si="99"/>
        <v>0</v>
      </c>
      <c r="N65" s="91"/>
      <c r="O65" s="91"/>
      <c r="P65" s="68"/>
      <c r="Q65" s="68">
        <f t="shared" si="100"/>
        <v>0</v>
      </c>
      <c r="R65" s="91"/>
      <c r="S65" s="91"/>
      <c r="T65" s="68"/>
      <c r="U65" s="68">
        <f t="shared" si="101"/>
        <v>0</v>
      </c>
      <c r="V65" s="91"/>
      <c r="W65" s="91"/>
      <c r="X65" s="68"/>
      <c r="Y65" s="68"/>
      <c r="Z65" s="91"/>
      <c r="AA65" s="91"/>
      <c r="AB65" s="68"/>
      <c r="AC65" s="68">
        <f t="shared" si="102"/>
        <v>0</v>
      </c>
      <c r="AD65" s="91"/>
      <c r="AE65" s="91"/>
      <c r="AF65" s="68"/>
      <c r="AG65" s="68">
        <f t="shared" si="103"/>
        <v>0</v>
      </c>
      <c r="AH65" s="91"/>
      <c r="AI65" s="91"/>
      <c r="AJ65" s="68"/>
      <c r="AK65" s="68">
        <f t="shared" si="104"/>
        <v>0</v>
      </c>
      <c r="AL65" s="91"/>
      <c r="AM65" s="91"/>
      <c r="AN65" s="68"/>
      <c r="AO65" s="68"/>
      <c r="AP65" s="91"/>
      <c r="AQ65" s="91"/>
      <c r="AR65" s="68">
        <f t="shared" si="119"/>
        <v>0</v>
      </c>
      <c r="AS65" s="68">
        <f t="shared" si="105"/>
        <v>0</v>
      </c>
      <c r="AT65" s="91"/>
      <c r="AU65" s="91"/>
      <c r="AV65" s="68"/>
      <c r="AW65" s="68">
        <f t="shared" si="106"/>
        <v>0</v>
      </c>
      <c r="AX65" s="91"/>
      <c r="AY65" s="91"/>
      <c r="AZ65" s="152"/>
      <c r="BA65" s="152"/>
      <c r="BB65" s="91"/>
      <c r="BC65" s="91"/>
      <c r="BD65" s="68"/>
      <c r="BE65" s="68">
        <f t="shared" si="107"/>
        <v>0</v>
      </c>
      <c r="BF65" s="91"/>
      <c r="BG65" s="91"/>
      <c r="BH65" s="68"/>
      <c r="BI65" s="68">
        <f t="shared" si="108"/>
        <v>0</v>
      </c>
      <c r="BJ65" s="91"/>
      <c r="BK65" s="91"/>
      <c r="BL65" s="68"/>
      <c r="BM65" s="68">
        <f t="shared" si="109"/>
        <v>0</v>
      </c>
      <c r="BN65" s="91"/>
      <c r="BO65" s="91"/>
      <c r="BP65" s="68"/>
      <c r="BQ65" s="68">
        <f t="shared" si="110"/>
        <v>0</v>
      </c>
      <c r="BR65" s="91"/>
      <c r="BS65" s="91"/>
      <c r="BT65" s="68">
        <f>BP65+BR65-BS65</f>
        <v>0</v>
      </c>
      <c r="BU65" s="68">
        <f t="shared" si="111"/>
        <v>0</v>
      </c>
      <c r="BV65" s="91"/>
      <c r="BW65" s="91"/>
      <c r="BX65" s="68">
        <f>BT65+BV65-BW65</f>
        <v>0</v>
      </c>
      <c r="BY65" s="68">
        <f t="shared" si="112"/>
        <v>0</v>
      </c>
      <c r="BZ65" s="91"/>
      <c r="CA65" s="91"/>
      <c r="CB65" s="68">
        <f>BX65+BZ65-CA65</f>
        <v>0</v>
      </c>
      <c r="CC65" s="68">
        <f t="shared" si="113"/>
        <v>0</v>
      </c>
      <c r="CD65" s="91"/>
      <c r="CE65" s="91"/>
      <c r="CF65" s="68">
        <f>CB65+CD65-CE65</f>
        <v>0</v>
      </c>
      <c r="CG65" s="68">
        <f t="shared" si="114"/>
        <v>0</v>
      </c>
      <c r="CH65" s="91"/>
      <c r="CI65" s="91"/>
      <c r="CJ65" s="68">
        <f>CF65+CH65-CI65</f>
        <v>0</v>
      </c>
      <c r="CK65" s="68">
        <f t="shared" si="115"/>
        <v>0</v>
      </c>
      <c r="CL65" s="91"/>
      <c r="CM65" s="91"/>
      <c r="CN65" s="68">
        <f>CJ65+CL65-CM65</f>
        <v>0</v>
      </c>
      <c r="CO65" s="68">
        <f t="shared" si="116"/>
        <v>0</v>
      </c>
      <c r="CP65" s="91"/>
      <c r="CQ65" s="91"/>
      <c r="CR65" s="68">
        <f>CN65+CP65-CQ65</f>
        <v>0</v>
      </c>
      <c r="CS65" s="68">
        <f t="shared" si="117"/>
        <v>0</v>
      </c>
      <c r="CT65" s="91"/>
      <c r="CU65" s="91"/>
      <c r="CV65" s="68">
        <f>CR65+CT65-CU65</f>
        <v>0</v>
      </c>
      <c r="CW65" s="68">
        <f t="shared" si="118"/>
        <v>0</v>
      </c>
    </row>
    <row r="66" spans="1:101" ht="24" x14ac:dyDescent="0.55000000000000004">
      <c r="A66" s="67">
        <v>61</v>
      </c>
      <c r="B66" s="81" t="s">
        <v>23</v>
      </c>
      <c r="C66" s="67">
        <v>287</v>
      </c>
      <c r="D66" s="68">
        <f>+'กระดาษทำการ 30 เม.ย.58'!BP67</f>
        <v>0</v>
      </c>
      <c r="E66" s="68">
        <f>+'กระดาษทำการ 30 เม.ย.58'!BQ67</f>
        <v>0</v>
      </c>
      <c r="F66" s="119">
        <v>4806</v>
      </c>
      <c r="G66" s="119"/>
      <c r="H66" s="68">
        <f t="shared" si="120"/>
        <v>4806</v>
      </c>
      <c r="I66" s="68"/>
      <c r="J66" s="119">
        <v>29488</v>
      </c>
      <c r="K66" s="119"/>
      <c r="L66" s="68">
        <f t="shared" ref="L66:L72" si="121">+H66+J66-K66</f>
        <v>34294</v>
      </c>
      <c r="M66" s="68"/>
      <c r="N66" s="119">
        <v>8432</v>
      </c>
      <c r="O66" s="119"/>
      <c r="P66" s="68">
        <f t="shared" ref="P66:P72" si="122">+L66+N66-O66</f>
        <v>42726</v>
      </c>
      <c r="Q66" s="68"/>
      <c r="R66" s="92">
        <v>13343</v>
      </c>
      <c r="S66" s="92"/>
      <c r="T66" s="68">
        <f t="shared" ref="T66:T72" si="123">+P66+R66-S66</f>
        <v>56069</v>
      </c>
      <c r="U66" s="68"/>
      <c r="V66" s="91"/>
      <c r="W66" s="91"/>
      <c r="X66" s="68">
        <f t="shared" ref="X66:X72" si="124">+T66+V66-W66</f>
        <v>56069</v>
      </c>
      <c r="Y66" s="68"/>
      <c r="Z66" s="92">
        <v>16781</v>
      </c>
      <c r="AA66" s="92"/>
      <c r="AB66" s="68">
        <f t="shared" ref="AB66:AB72" si="125">+X66+Z66-AA66</f>
        <v>72850</v>
      </c>
      <c r="AC66" s="68"/>
      <c r="AD66" s="91">
        <f>26000+5000+15310</f>
        <v>46310</v>
      </c>
      <c r="AE66" s="91"/>
      <c r="AF66" s="68">
        <f t="shared" ref="AF66:AF72" si="126">+AB66+AD66-AE66</f>
        <v>119160</v>
      </c>
      <c r="AG66" s="68"/>
      <c r="AH66" s="91">
        <v>28950</v>
      </c>
      <c r="AI66" s="91"/>
      <c r="AJ66" s="68">
        <f t="shared" ref="AJ66:AJ72" si="127">+AF66+AH66-AI66</f>
        <v>148110</v>
      </c>
      <c r="AK66" s="68"/>
      <c r="AL66" s="91">
        <f>7970+9600</f>
        <v>17570</v>
      </c>
      <c r="AM66" s="91"/>
      <c r="AN66" s="68">
        <f t="shared" ref="AN66:AN72" si="128">+AJ66+AL66-AM66</f>
        <v>165680</v>
      </c>
      <c r="AO66" s="68"/>
      <c r="AP66" s="91">
        <v>12540</v>
      </c>
      <c r="AQ66" s="91"/>
      <c r="AR66" s="68">
        <f t="shared" si="119"/>
        <v>178220</v>
      </c>
      <c r="AS66" s="68">
        <v>0</v>
      </c>
      <c r="AT66" s="91"/>
      <c r="AU66" s="91"/>
      <c r="AV66" s="68">
        <f t="shared" ref="AV66:AV72" si="129">+AR66+AT66-AU66</f>
        <v>178220</v>
      </c>
      <c r="AW66" s="68"/>
      <c r="AX66" s="91">
        <v>30425</v>
      </c>
      <c r="AY66" s="91"/>
      <c r="AZ66" s="152"/>
      <c r="BA66" s="152"/>
      <c r="BB66" s="91">
        <v>27884</v>
      </c>
      <c r="BC66" s="91"/>
      <c r="BD66" s="68">
        <f t="shared" ref="BD66:BD72" si="130">+AZ66+BB66-BC66</f>
        <v>27884</v>
      </c>
      <c r="BE66" s="68"/>
      <c r="BF66" s="91"/>
      <c r="BG66" s="91"/>
      <c r="BH66" s="68">
        <f t="shared" ref="BH66:BH72" si="131">+BD66+BF66-BG66</f>
        <v>27884</v>
      </c>
      <c r="BI66" s="68"/>
      <c r="BJ66" s="91"/>
      <c r="BK66" s="91"/>
      <c r="BL66" s="68">
        <f t="shared" ref="BL66:BL72" si="132">+BH66+BJ66-BK66</f>
        <v>27884</v>
      </c>
      <c r="BM66" s="68"/>
      <c r="BN66" s="91"/>
      <c r="BO66" s="91"/>
      <c r="BP66" s="68">
        <f t="shared" ref="BP66:BP72" si="133">+BL66+BN66-BO66</f>
        <v>27884</v>
      </c>
      <c r="BQ66" s="68"/>
      <c r="BR66" s="91"/>
      <c r="BS66" s="91"/>
      <c r="BT66" s="68">
        <f>BP66+BR66-BS66</f>
        <v>27884</v>
      </c>
      <c r="BU66" s="68"/>
      <c r="BV66" s="91"/>
      <c r="BW66" s="91"/>
      <c r="BX66" s="68">
        <f>BT66+BV66-BW66</f>
        <v>27884</v>
      </c>
      <c r="BY66" s="68"/>
      <c r="BZ66" s="91">
        <v>13175</v>
      </c>
      <c r="CA66" s="91"/>
      <c r="CB66" s="68">
        <f>BX66+BZ66-CA66</f>
        <v>41059</v>
      </c>
      <c r="CC66" s="68"/>
      <c r="CD66" s="91">
        <v>11865</v>
      </c>
      <c r="CE66" s="91"/>
      <c r="CF66" s="68">
        <f>CB66+CD66-CE66</f>
        <v>52924</v>
      </c>
      <c r="CG66" s="68"/>
      <c r="CH66" s="91">
        <v>16900</v>
      </c>
      <c r="CI66" s="91"/>
      <c r="CJ66" s="68">
        <f>CF66+CH66-CI66</f>
        <v>69824</v>
      </c>
      <c r="CK66" s="68"/>
      <c r="CL66" s="91">
        <v>15200</v>
      </c>
      <c r="CM66" s="91"/>
      <c r="CN66" s="68">
        <f>CJ66+CL66-CM66</f>
        <v>85024</v>
      </c>
      <c r="CO66" s="68"/>
      <c r="CP66" s="91">
        <v>19700</v>
      </c>
      <c r="CQ66" s="91"/>
      <c r="CR66" s="68">
        <f>CN66+CP66-CQ66</f>
        <v>104724</v>
      </c>
      <c r="CS66" s="68"/>
      <c r="CT66" s="91"/>
      <c r="CU66" s="91"/>
      <c r="CV66" s="68">
        <f>CR66+CT66-CU66</f>
        <v>104724</v>
      </c>
      <c r="CW66" s="68"/>
    </row>
    <row r="67" spans="1:101" ht="24" x14ac:dyDescent="0.55000000000000004">
      <c r="A67" s="67">
        <v>62</v>
      </c>
      <c r="B67" s="70" t="s">
        <v>148</v>
      </c>
      <c r="C67" s="71"/>
      <c r="D67" s="60"/>
      <c r="E67" s="60"/>
      <c r="F67" s="119">
        <v>288000</v>
      </c>
      <c r="G67" s="119"/>
      <c r="H67" s="68">
        <f t="shared" si="120"/>
        <v>288000</v>
      </c>
      <c r="I67" s="60"/>
      <c r="J67" s="91"/>
      <c r="K67" s="91"/>
      <c r="L67" s="68">
        <f t="shared" si="121"/>
        <v>288000</v>
      </c>
      <c r="M67" s="68"/>
      <c r="N67" s="91"/>
      <c r="O67" s="91"/>
      <c r="P67" s="68">
        <f t="shared" si="122"/>
        <v>288000</v>
      </c>
      <c r="Q67" s="68"/>
      <c r="R67" s="91"/>
      <c r="S67" s="91"/>
      <c r="T67" s="68">
        <f t="shared" si="123"/>
        <v>288000</v>
      </c>
      <c r="U67" s="68"/>
      <c r="V67" s="91"/>
      <c r="W67" s="91"/>
      <c r="X67" s="68">
        <f t="shared" si="124"/>
        <v>288000</v>
      </c>
      <c r="Y67" s="68"/>
      <c r="Z67" s="91"/>
      <c r="AA67" s="91"/>
      <c r="AB67" s="68">
        <f t="shared" si="125"/>
        <v>288000</v>
      </c>
      <c r="AC67" s="68"/>
      <c r="AD67" s="91"/>
      <c r="AE67" s="91"/>
      <c r="AF67" s="68">
        <f t="shared" si="126"/>
        <v>288000</v>
      </c>
      <c r="AG67" s="68"/>
      <c r="AH67" s="91"/>
      <c r="AI67" s="91"/>
      <c r="AJ67" s="68">
        <f t="shared" si="127"/>
        <v>288000</v>
      </c>
      <c r="AK67" s="68"/>
      <c r="AL67" s="91"/>
      <c r="AM67" s="91"/>
      <c r="AN67" s="68">
        <f t="shared" si="128"/>
        <v>288000</v>
      </c>
      <c r="AO67" s="68"/>
      <c r="AP67" s="91">
        <v>0</v>
      </c>
      <c r="AQ67" s="91"/>
      <c r="AR67" s="68">
        <f t="shared" si="119"/>
        <v>288000</v>
      </c>
      <c r="AS67" s="68">
        <f>+AO67+AQ67-AP67</f>
        <v>0</v>
      </c>
      <c r="AT67" s="91"/>
      <c r="AU67" s="91"/>
      <c r="AV67" s="68">
        <f t="shared" si="129"/>
        <v>288000</v>
      </c>
      <c r="AW67" s="68"/>
      <c r="AX67" s="91"/>
      <c r="AY67" s="91"/>
      <c r="AZ67" s="152"/>
      <c r="BA67" s="152"/>
      <c r="BB67" s="91"/>
      <c r="BC67" s="91"/>
      <c r="BD67" s="68">
        <f t="shared" si="130"/>
        <v>0</v>
      </c>
      <c r="BE67" s="68"/>
      <c r="BF67" s="91"/>
      <c r="BG67" s="91"/>
      <c r="BH67" s="68">
        <f t="shared" si="131"/>
        <v>0</v>
      </c>
      <c r="BI67" s="68"/>
      <c r="BJ67" s="91"/>
      <c r="BK67" s="91"/>
      <c r="BL67" s="68">
        <f t="shared" si="132"/>
        <v>0</v>
      </c>
      <c r="BM67" s="68"/>
      <c r="BN67" s="91"/>
      <c r="BO67" s="91"/>
      <c r="BP67" s="68">
        <f t="shared" si="133"/>
        <v>0</v>
      </c>
      <c r="BQ67" s="68"/>
      <c r="BR67" s="91"/>
      <c r="BS67" s="91"/>
      <c r="BT67" s="68">
        <f>BP67+BR67-BS67</f>
        <v>0</v>
      </c>
      <c r="BU67" s="68"/>
      <c r="BV67" s="91"/>
      <c r="BW67" s="91"/>
      <c r="BX67" s="68">
        <f>BT67+BV67-BW67</f>
        <v>0</v>
      </c>
      <c r="BY67" s="68"/>
      <c r="BZ67" s="91"/>
      <c r="CA67" s="91"/>
      <c r="CB67" s="68">
        <f>BX67+BZ67-CA67</f>
        <v>0</v>
      </c>
      <c r="CC67" s="68"/>
      <c r="CD67" s="91"/>
      <c r="CE67" s="91"/>
      <c r="CF67" s="68">
        <f>CB67+CD67-CE67</f>
        <v>0</v>
      </c>
      <c r="CG67" s="68"/>
      <c r="CH67" s="91"/>
      <c r="CI67" s="91"/>
      <c r="CJ67" s="68">
        <f>CF67+CH67-CI67</f>
        <v>0</v>
      </c>
      <c r="CK67" s="68"/>
      <c r="CL67" s="91"/>
      <c r="CM67" s="91"/>
      <c r="CN67" s="68">
        <f>CJ67+CL67-CM67</f>
        <v>0</v>
      </c>
      <c r="CO67" s="68"/>
      <c r="CP67" s="91"/>
      <c r="CQ67" s="91"/>
      <c r="CR67" s="68">
        <f>CN67+CP67-CQ67</f>
        <v>0</v>
      </c>
      <c r="CS67" s="68"/>
      <c r="CT67" s="91"/>
      <c r="CU67" s="91"/>
      <c r="CV67" s="68">
        <f>CR67+CT67-CU67</f>
        <v>0</v>
      </c>
      <c r="CW67" s="68"/>
    </row>
    <row r="68" spans="1:101" ht="24" x14ac:dyDescent="0.55000000000000004">
      <c r="A68" s="67">
        <v>63</v>
      </c>
      <c r="B68" s="81" t="s">
        <v>149</v>
      </c>
      <c r="C68" s="67">
        <v>305</v>
      </c>
      <c r="D68" s="68">
        <f>+'กระดาษทำการ 30 เม.ย.58'!BP68</f>
        <v>0</v>
      </c>
      <c r="E68" s="68">
        <f>+'กระดาษทำการ 30 เม.ย.58'!BQ68</f>
        <v>0</v>
      </c>
      <c r="F68" s="119">
        <v>600</v>
      </c>
      <c r="G68" s="91"/>
      <c r="H68" s="68">
        <f t="shared" si="120"/>
        <v>600</v>
      </c>
      <c r="I68" s="68"/>
      <c r="J68" s="119">
        <v>400</v>
      </c>
      <c r="K68" s="119"/>
      <c r="L68" s="68">
        <f t="shared" si="121"/>
        <v>1000</v>
      </c>
      <c r="M68" s="68"/>
      <c r="N68" s="119">
        <v>400</v>
      </c>
      <c r="O68" s="119"/>
      <c r="P68" s="68">
        <f t="shared" si="122"/>
        <v>1400</v>
      </c>
      <c r="Q68" s="68"/>
      <c r="R68" s="92">
        <f>400+400</f>
        <v>800</v>
      </c>
      <c r="S68" s="92"/>
      <c r="T68" s="68">
        <f t="shared" si="123"/>
        <v>2200</v>
      </c>
      <c r="U68" s="68"/>
      <c r="V68" s="92">
        <v>200</v>
      </c>
      <c r="W68" s="92"/>
      <c r="X68" s="68">
        <f t="shared" si="124"/>
        <v>2400</v>
      </c>
      <c r="Y68" s="68"/>
      <c r="Z68" s="92">
        <f>400+800</f>
        <v>1200</v>
      </c>
      <c r="AA68" s="92"/>
      <c r="AB68" s="68">
        <f t="shared" si="125"/>
        <v>3600</v>
      </c>
      <c r="AC68" s="68"/>
      <c r="AD68" s="91">
        <f>400+400</f>
        <v>800</v>
      </c>
      <c r="AE68" s="91"/>
      <c r="AF68" s="68">
        <f t="shared" si="126"/>
        <v>4400</v>
      </c>
      <c r="AG68" s="68"/>
      <c r="AH68" s="91">
        <v>400</v>
      </c>
      <c r="AI68" s="91"/>
      <c r="AJ68" s="68">
        <f t="shared" si="127"/>
        <v>4800</v>
      </c>
      <c r="AK68" s="68"/>
      <c r="AL68" s="91">
        <v>600</v>
      </c>
      <c r="AM68" s="91"/>
      <c r="AN68" s="68">
        <f t="shared" si="128"/>
        <v>5400</v>
      </c>
      <c r="AO68" s="68"/>
      <c r="AP68" s="91">
        <v>200</v>
      </c>
      <c r="AQ68" s="91"/>
      <c r="AR68" s="68">
        <f t="shared" si="119"/>
        <v>5600</v>
      </c>
      <c r="AS68" s="68">
        <v>0</v>
      </c>
      <c r="AT68" s="91"/>
      <c r="AU68" s="91"/>
      <c r="AV68" s="68">
        <f t="shared" si="129"/>
        <v>5600</v>
      </c>
      <c r="AW68" s="68"/>
      <c r="AX68" s="91">
        <v>400</v>
      </c>
      <c r="AY68" s="91"/>
      <c r="AZ68" s="152"/>
      <c r="BA68" s="152"/>
      <c r="BB68" s="91">
        <v>800</v>
      </c>
      <c r="BC68" s="91"/>
      <c r="BD68" s="68">
        <f t="shared" si="130"/>
        <v>800</v>
      </c>
      <c r="BE68" s="68"/>
      <c r="BF68" s="91">
        <v>800</v>
      </c>
      <c r="BG68" s="91"/>
      <c r="BH68" s="68">
        <f t="shared" si="131"/>
        <v>1600</v>
      </c>
      <c r="BI68" s="68"/>
      <c r="BJ68" s="91">
        <v>1000</v>
      </c>
      <c r="BK68" s="91"/>
      <c r="BL68" s="68">
        <f t="shared" si="132"/>
        <v>2600</v>
      </c>
      <c r="BM68" s="68"/>
      <c r="BN68" s="91"/>
      <c r="BO68" s="91"/>
      <c r="BP68" s="68">
        <f t="shared" si="133"/>
        <v>2600</v>
      </c>
      <c r="BQ68" s="68"/>
      <c r="BR68" s="91">
        <v>800</v>
      </c>
      <c r="BS68" s="91"/>
      <c r="BT68" s="68">
        <f>+BP68+BR68-BS68</f>
        <v>3400</v>
      </c>
      <c r="BU68" s="68"/>
      <c r="BV68" s="91">
        <v>800</v>
      </c>
      <c r="BW68" s="91"/>
      <c r="BX68" s="68">
        <f>+BT68+BV68-BW68</f>
        <v>4200</v>
      </c>
      <c r="BY68" s="68"/>
      <c r="BZ68" s="91">
        <v>400</v>
      </c>
      <c r="CA68" s="91"/>
      <c r="CB68" s="68">
        <f>+BX68+BZ68-CA68</f>
        <v>4600</v>
      </c>
      <c r="CC68" s="68"/>
      <c r="CD68" s="91">
        <v>200</v>
      </c>
      <c r="CE68" s="91"/>
      <c r="CF68" s="68">
        <f>+CB68+CD68-CE68</f>
        <v>4800</v>
      </c>
      <c r="CG68" s="68"/>
      <c r="CH68" s="91">
        <v>1200</v>
      </c>
      <c r="CI68" s="91"/>
      <c r="CJ68" s="68">
        <f>+CF68+CH68-CI68</f>
        <v>6000</v>
      </c>
      <c r="CK68" s="68"/>
      <c r="CL68" s="91">
        <v>1000</v>
      </c>
      <c r="CM68" s="91"/>
      <c r="CN68" s="68">
        <f>+CJ68+CL68-CM68</f>
        <v>7000</v>
      </c>
      <c r="CO68" s="68"/>
      <c r="CP68" s="91">
        <v>1400</v>
      </c>
      <c r="CQ68" s="91"/>
      <c r="CR68" s="68">
        <f>+CN68+CP68-CQ68</f>
        <v>8400</v>
      </c>
      <c r="CS68" s="68"/>
      <c r="CT68" s="91">
        <v>800</v>
      </c>
      <c r="CU68" s="91"/>
      <c r="CV68" s="68">
        <f>+CR68+CT68-CU68</f>
        <v>9200</v>
      </c>
      <c r="CW68" s="68"/>
    </row>
    <row r="69" spans="1:101" ht="24" x14ac:dyDescent="0.55000000000000004">
      <c r="A69" s="67">
        <v>64</v>
      </c>
      <c r="B69" s="81" t="s">
        <v>150</v>
      </c>
      <c r="C69" s="67"/>
      <c r="D69" s="68"/>
      <c r="E69" s="68"/>
      <c r="F69" s="119">
        <v>1900</v>
      </c>
      <c r="G69" s="91"/>
      <c r="H69" s="68">
        <f t="shared" si="120"/>
        <v>1900</v>
      </c>
      <c r="I69" s="68"/>
      <c r="J69" s="119">
        <f>300+300+500</f>
        <v>1100</v>
      </c>
      <c r="K69" s="119"/>
      <c r="L69" s="68">
        <f t="shared" si="121"/>
        <v>3000</v>
      </c>
      <c r="M69" s="68"/>
      <c r="N69" s="91"/>
      <c r="O69" s="91"/>
      <c r="P69" s="68">
        <f t="shared" si="122"/>
        <v>3000</v>
      </c>
      <c r="Q69" s="68"/>
      <c r="R69" s="92">
        <f>300+500+500+500</f>
        <v>1800</v>
      </c>
      <c r="S69" s="92"/>
      <c r="T69" s="68">
        <f t="shared" si="123"/>
        <v>4800</v>
      </c>
      <c r="U69" s="68"/>
      <c r="V69" s="92">
        <f>500+500+300</f>
        <v>1300</v>
      </c>
      <c r="W69" s="92"/>
      <c r="X69" s="68">
        <f t="shared" si="124"/>
        <v>6100</v>
      </c>
      <c r="Y69" s="68"/>
      <c r="Z69" s="92">
        <f>500+300+500</f>
        <v>1300</v>
      </c>
      <c r="AA69" s="92"/>
      <c r="AB69" s="68">
        <f t="shared" si="125"/>
        <v>7400</v>
      </c>
      <c r="AC69" s="68"/>
      <c r="AD69" s="91">
        <f>500+1000</f>
        <v>1500</v>
      </c>
      <c r="AE69" s="91"/>
      <c r="AF69" s="68">
        <f t="shared" si="126"/>
        <v>8900</v>
      </c>
      <c r="AG69" s="68"/>
      <c r="AH69" s="91">
        <f>800+500</f>
        <v>1300</v>
      </c>
      <c r="AI69" s="91"/>
      <c r="AJ69" s="68">
        <f t="shared" si="127"/>
        <v>10200</v>
      </c>
      <c r="AK69" s="68"/>
      <c r="AL69" s="91">
        <f>300+300+300+300+500+300</f>
        <v>2000</v>
      </c>
      <c r="AM69" s="91"/>
      <c r="AN69" s="68">
        <f t="shared" si="128"/>
        <v>12200</v>
      </c>
      <c r="AO69" s="68"/>
      <c r="AP69" s="91">
        <v>500</v>
      </c>
      <c r="AQ69" s="91"/>
      <c r="AR69" s="68">
        <f t="shared" si="119"/>
        <v>12700</v>
      </c>
      <c r="AS69" s="68">
        <v>0</v>
      </c>
      <c r="AT69" s="92">
        <f>1100+300</f>
        <v>1400</v>
      </c>
      <c r="AU69" s="91"/>
      <c r="AV69" s="68">
        <f t="shared" si="129"/>
        <v>14100</v>
      </c>
      <c r="AW69" s="68"/>
      <c r="AX69" s="91">
        <f>300+300+500</f>
        <v>1100</v>
      </c>
      <c r="AY69" s="91"/>
      <c r="AZ69" s="152"/>
      <c r="BA69" s="152"/>
      <c r="BB69" s="91">
        <v>1300</v>
      </c>
      <c r="BC69" s="91"/>
      <c r="BD69" s="68">
        <f t="shared" si="130"/>
        <v>1300</v>
      </c>
      <c r="BE69" s="68"/>
      <c r="BF69" s="91">
        <v>800</v>
      </c>
      <c r="BG69" s="91"/>
      <c r="BH69" s="68">
        <f t="shared" si="131"/>
        <v>2100</v>
      </c>
      <c r="BI69" s="68"/>
      <c r="BJ69" s="91">
        <v>1100</v>
      </c>
      <c r="BK69" s="91"/>
      <c r="BL69" s="68">
        <f t="shared" si="132"/>
        <v>3200</v>
      </c>
      <c r="BM69" s="68"/>
      <c r="BN69" s="91">
        <v>2200</v>
      </c>
      <c r="BO69" s="91"/>
      <c r="BP69" s="68">
        <f t="shared" si="133"/>
        <v>5400</v>
      </c>
      <c r="BQ69" s="68"/>
      <c r="BR69" s="91">
        <v>1100</v>
      </c>
      <c r="BS69" s="91"/>
      <c r="BT69" s="68">
        <f>BP69+BR69-BS69</f>
        <v>6500</v>
      </c>
      <c r="BU69" s="68"/>
      <c r="BV69" s="91">
        <v>1400</v>
      </c>
      <c r="BW69" s="91"/>
      <c r="BX69" s="68">
        <f>BT69+BV69-BW69</f>
        <v>7900</v>
      </c>
      <c r="BY69" s="68"/>
      <c r="BZ69" s="91">
        <v>1500</v>
      </c>
      <c r="CA69" s="91"/>
      <c r="CB69" s="68">
        <f>BX69+BZ69-CA69</f>
        <v>9400</v>
      </c>
      <c r="CC69" s="68"/>
      <c r="CD69" s="91">
        <v>1700</v>
      </c>
      <c r="CE69" s="91"/>
      <c r="CF69" s="68">
        <f>CB69+CD69-CE69</f>
        <v>11100</v>
      </c>
      <c r="CG69" s="68"/>
      <c r="CH69" s="91">
        <v>1500</v>
      </c>
      <c r="CI69" s="91"/>
      <c r="CJ69" s="68">
        <f>CF69+CH69-CI69</f>
        <v>12600</v>
      </c>
      <c r="CK69" s="68"/>
      <c r="CL69" s="91">
        <v>3000</v>
      </c>
      <c r="CM69" s="91"/>
      <c r="CN69" s="68">
        <f>CJ69+CL69-CM69</f>
        <v>15600</v>
      </c>
      <c r="CO69" s="68"/>
      <c r="CP69" s="91">
        <v>3100</v>
      </c>
      <c r="CQ69" s="91"/>
      <c r="CR69" s="68">
        <f>CN69+CP69-CQ69</f>
        <v>18700</v>
      </c>
      <c r="CS69" s="68"/>
      <c r="CT69" s="91">
        <v>1800</v>
      </c>
      <c r="CU69" s="91"/>
      <c r="CV69" s="68">
        <f>CR69+CT69-CU69</f>
        <v>20500</v>
      </c>
      <c r="CW69" s="68"/>
    </row>
    <row r="70" spans="1:101" ht="24" x14ac:dyDescent="0.55000000000000004">
      <c r="A70" s="67">
        <v>65</v>
      </c>
      <c r="B70" s="81" t="s">
        <v>17</v>
      </c>
      <c r="C70" s="67">
        <v>309</v>
      </c>
      <c r="D70" s="68">
        <f>+'กระดาษทำการ 30 เม.ย.58'!BP69</f>
        <v>0</v>
      </c>
      <c r="E70" s="68">
        <f>+'กระดาษทำการ 30 เม.ย.58'!BQ69</f>
        <v>0</v>
      </c>
      <c r="F70" s="91"/>
      <c r="G70" s="91"/>
      <c r="H70" s="68">
        <f t="shared" si="120"/>
        <v>0</v>
      </c>
      <c r="I70" s="68"/>
      <c r="J70" s="119">
        <f>750+750</f>
        <v>1500</v>
      </c>
      <c r="K70" s="119"/>
      <c r="L70" s="68">
        <f t="shared" si="121"/>
        <v>1500</v>
      </c>
      <c r="M70" s="68"/>
      <c r="N70" s="119">
        <v>750</v>
      </c>
      <c r="O70" s="119"/>
      <c r="P70" s="68">
        <f t="shared" si="122"/>
        <v>2250</v>
      </c>
      <c r="Q70" s="68"/>
      <c r="R70" s="91"/>
      <c r="S70" s="91"/>
      <c r="T70" s="68">
        <f t="shared" si="123"/>
        <v>2250</v>
      </c>
      <c r="U70" s="68"/>
      <c r="V70" s="91"/>
      <c r="W70" s="91"/>
      <c r="X70" s="68">
        <f t="shared" si="124"/>
        <v>2250</v>
      </c>
      <c r="Y70" s="68"/>
      <c r="Z70" s="92">
        <v>1200</v>
      </c>
      <c r="AA70" s="92"/>
      <c r="AB70" s="68">
        <f t="shared" si="125"/>
        <v>3450</v>
      </c>
      <c r="AC70" s="68"/>
      <c r="AD70" s="91"/>
      <c r="AE70" s="91"/>
      <c r="AF70" s="68">
        <f t="shared" si="126"/>
        <v>3450</v>
      </c>
      <c r="AG70" s="68"/>
      <c r="AH70" s="91"/>
      <c r="AI70" s="91"/>
      <c r="AJ70" s="68">
        <f t="shared" si="127"/>
        <v>3450</v>
      </c>
      <c r="AK70" s="68"/>
      <c r="AL70" s="91">
        <v>900</v>
      </c>
      <c r="AM70" s="91"/>
      <c r="AN70" s="68">
        <f t="shared" si="128"/>
        <v>4350</v>
      </c>
      <c r="AO70" s="68"/>
      <c r="AP70" s="91">
        <v>3000</v>
      </c>
      <c r="AQ70" s="91"/>
      <c r="AR70" s="68">
        <f t="shared" si="119"/>
        <v>7350</v>
      </c>
      <c r="AS70" s="68">
        <v>0</v>
      </c>
      <c r="AT70" s="92">
        <f>1050+1050</f>
        <v>2100</v>
      </c>
      <c r="AU70" s="91"/>
      <c r="AV70" s="68">
        <f t="shared" si="129"/>
        <v>9450</v>
      </c>
      <c r="AW70" s="68"/>
      <c r="AX70" s="91">
        <f>1200+750</f>
        <v>1950</v>
      </c>
      <c r="AY70" s="91"/>
      <c r="AZ70" s="152"/>
      <c r="BA70" s="152"/>
      <c r="BB70" s="91"/>
      <c r="BC70" s="91"/>
      <c r="BD70" s="68">
        <f t="shared" si="130"/>
        <v>0</v>
      </c>
      <c r="BE70" s="68"/>
      <c r="BF70" s="91">
        <v>1050</v>
      </c>
      <c r="BG70" s="91"/>
      <c r="BH70" s="68">
        <f t="shared" si="131"/>
        <v>1050</v>
      </c>
      <c r="BI70" s="68"/>
      <c r="BJ70" s="91">
        <v>750</v>
      </c>
      <c r="BK70" s="91"/>
      <c r="BL70" s="68">
        <f t="shared" si="132"/>
        <v>1800</v>
      </c>
      <c r="BM70" s="68"/>
      <c r="BN70" s="91">
        <v>900</v>
      </c>
      <c r="BO70" s="91"/>
      <c r="BP70" s="68">
        <f t="shared" si="133"/>
        <v>2700</v>
      </c>
      <c r="BQ70" s="68"/>
      <c r="BR70" s="91">
        <v>1050</v>
      </c>
      <c r="BS70" s="91"/>
      <c r="BT70" s="68">
        <f>BP70+BR70-BS70</f>
        <v>3750</v>
      </c>
      <c r="BU70" s="68"/>
      <c r="BV70" s="91">
        <v>3200</v>
      </c>
      <c r="BW70" s="91"/>
      <c r="BX70" s="68">
        <f>BT70+BV70-BW70</f>
        <v>6950</v>
      </c>
      <c r="BY70" s="68"/>
      <c r="BZ70" s="91"/>
      <c r="CA70" s="91"/>
      <c r="CB70" s="68">
        <f>BX70+BZ70-CA70</f>
        <v>6950</v>
      </c>
      <c r="CC70" s="68"/>
      <c r="CD70" s="91">
        <v>1800</v>
      </c>
      <c r="CE70" s="91"/>
      <c r="CF70" s="68">
        <f>CB70+CD70-CE70</f>
        <v>8750</v>
      </c>
      <c r="CG70" s="68"/>
      <c r="CH70" s="91">
        <v>1600</v>
      </c>
      <c r="CI70" s="91"/>
      <c r="CJ70" s="68">
        <f>CF70+CH70-CI70</f>
        <v>10350</v>
      </c>
      <c r="CK70" s="68"/>
      <c r="CL70" s="91">
        <v>1600</v>
      </c>
      <c r="CM70" s="91"/>
      <c r="CN70" s="68">
        <f>CJ70+CL70-CM70</f>
        <v>11950</v>
      </c>
      <c r="CO70" s="68"/>
      <c r="CP70" s="91">
        <v>1800</v>
      </c>
      <c r="CQ70" s="91"/>
      <c r="CR70" s="68">
        <f>CN70+CP70-CQ70</f>
        <v>13750</v>
      </c>
      <c r="CS70" s="68"/>
      <c r="CT70" s="91"/>
      <c r="CU70" s="91"/>
      <c r="CV70" s="68">
        <f>CR70+CT70-CU70</f>
        <v>13750</v>
      </c>
      <c r="CW70" s="68"/>
    </row>
    <row r="71" spans="1:101" ht="24" x14ac:dyDescent="0.55000000000000004">
      <c r="A71" s="67">
        <v>66</v>
      </c>
      <c r="B71" s="81" t="s">
        <v>14</v>
      </c>
      <c r="C71" s="67">
        <v>319</v>
      </c>
      <c r="D71" s="68">
        <f>+'กระดาษทำการ 30 เม.ย.58'!BP70</f>
        <v>0</v>
      </c>
      <c r="E71" s="68">
        <f>+'กระดาษทำการ 30 เม.ย.58'!BQ70</f>
        <v>0</v>
      </c>
      <c r="F71" s="91">
        <v>990</v>
      </c>
      <c r="G71" s="91"/>
      <c r="H71" s="68">
        <f t="shared" si="120"/>
        <v>990</v>
      </c>
      <c r="I71" s="68"/>
      <c r="J71" s="91">
        <v>1700</v>
      </c>
      <c r="K71" s="91"/>
      <c r="L71" s="68">
        <f t="shared" si="121"/>
        <v>2690</v>
      </c>
      <c r="M71" s="68"/>
      <c r="N71" s="119">
        <f>200+350</f>
        <v>550</v>
      </c>
      <c r="O71" s="119"/>
      <c r="P71" s="68">
        <f t="shared" si="122"/>
        <v>3240</v>
      </c>
      <c r="Q71" s="68"/>
      <c r="R71" s="92">
        <v>20</v>
      </c>
      <c r="S71" s="92"/>
      <c r="T71" s="68">
        <f t="shared" si="123"/>
        <v>3260</v>
      </c>
      <c r="U71" s="68"/>
      <c r="V71" s="92">
        <f>500+840</f>
        <v>1340</v>
      </c>
      <c r="W71" s="92"/>
      <c r="X71" s="68">
        <f t="shared" si="124"/>
        <v>4600</v>
      </c>
      <c r="Y71" s="68"/>
      <c r="Z71" s="92">
        <f>500+870</f>
        <v>1370</v>
      </c>
      <c r="AA71" s="92"/>
      <c r="AB71" s="68">
        <f t="shared" si="125"/>
        <v>5970</v>
      </c>
      <c r="AC71" s="68"/>
      <c r="AD71" s="91">
        <f>1700+500</f>
        <v>2200</v>
      </c>
      <c r="AE71" s="91"/>
      <c r="AF71" s="68">
        <f t="shared" si="126"/>
        <v>8170</v>
      </c>
      <c r="AG71" s="68"/>
      <c r="AH71" s="91"/>
      <c r="AI71" s="91"/>
      <c r="AJ71" s="68">
        <f t="shared" si="127"/>
        <v>8170</v>
      </c>
      <c r="AK71" s="68"/>
      <c r="AL71" s="91">
        <v>690</v>
      </c>
      <c r="AM71" s="91"/>
      <c r="AN71" s="68">
        <f t="shared" si="128"/>
        <v>8860</v>
      </c>
      <c r="AO71" s="68"/>
      <c r="AP71" s="91">
        <v>300</v>
      </c>
      <c r="AQ71" s="91"/>
      <c r="AR71" s="68">
        <f t="shared" si="119"/>
        <v>9160</v>
      </c>
      <c r="AS71" s="68">
        <v>0</v>
      </c>
      <c r="AT71" s="92">
        <v>250</v>
      </c>
      <c r="AU71" s="91"/>
      <c r="AV71" s="68">
        <f t="shared" si="129"/>
        <v>9410</v>
      </c>
      <c r="AW71" s="68"/>
      <c r="AX71" s="91">
        <v>350</v>
      </c>
      <c r="AY71" s="91"/>
      <c r="AZ71" s="152"/>
      <c r="BA71" s="152"/>
      <c r="BB71" s="91"/>
      <c r="BC71" s="91"/>
      <c r="BD71" s="68">
        <f t="shared" si="130"/>
        <v>0</v>
      </c>
      <c r="BE71" s="68"/>
      <c r="BF71" s="91">
        <v>550</v>
      </c>
      <c r="BG71" s="91"/>
      <c r="BH71" s="68">
        <f t="shared" si="131"/>
        <v>550</v>
      </c>
      <c r="BI71" s="68"/>
      <c r="BJ71" s="91"/>
      <c r="BK71" s="91"/>
      <c r="BL71" s="68">
        <f t="shared" si="132"/>
        <v>550</v>
      </c>
      <c r="BM71" s="68"/>
      <c r="BN71" s="91">
        <v>1050</v>
      </c>
      <c r="BO71" s="91"/>
      <c r="BP71" s="68">
        <f t="shared" si="133"/>
        <v>1600</v>
      </c>
      <c r="BQ71" s="68"/>
      <c r="BR71" s="91">
        <v>1500</v>
      </c>
      <c r="BS71" s="91"/>
      <c r="BT71" s="68">
        <f>BP71+BR71-BS71</f>
        <v>3100</v>
      </c>
      <c r="BU71" s="68"/>
      <c r="BV71" s="91">
        <v>60</v>
      </c>
      <c r="BW71" s="91"/>
      <c r="BX71" s="68">
        <f>BT71+BV71-BW71</f>
        <v>3160</v>
      </c>
      <c r="BY71" s="68"/>
      <c r="BZ71" s="91">
        <v>96</v>
      </c>
      <c r="CA71" s="91"/>
      <c r="CB71" s="68">
        <f>BX71+BZ71-CA71</f>
        <v>3256</v>
      </c>
      <c r="CC71" s="68"/>
      <c r="CD71" s="91">
        <v>886</v>
      </c>
      <c r="CE71" s="91"/>
      <c r="CF71" s="68">
        <f>CB71+CD71-CE71</f>
        <v>4142</v>
      </c>
      <c r="CG71" s="68"/>
      <c r="CH71" s="91">
        <v>675</v>
      </c>
      <c r="CI71" s="91"/>
      <c r="CJ71" s="68">
        <f>CF71+CH71-CI71</f>
        <v>4817</v>
      </c>
      <c r="CK71" s="68"/>
      <c r="CL71" s="91">
        <v>867</v>
      </c>
      <c r="CM71" s="91"/>
      <c r="CN71" s="68">
        <f>CJ71+CL71-CM71</f>
        <v>5684</v>
      </c>
      <c r="CO71" s="68"/>
      <c r="CP71" s="91">
        <v>690</v>
      </c>
      <c r="CQ71" s="91"/>
      <c r="CR71" s="68">
        <f>CN71+CP71-CQ71</f>
        <v>6374</v>
      </c>
      <c r="CS71" s="68"/>
      <c r="CT71" s="91">
        <v>868</v>
      </c>
      <c r="CU71" s="91"/>
      <c r="CV71" s="68">
        <f>CR71+CT71-CU71</f>
        <v>7242</v>
      </c>
      <c r="CW71" s="68"/>
    </row>
    <row r="72" spans="1:101" ht="24" x14ac:dyDescent="0.55000000000000004">
      <c r="A72" s="67">
        <v>67</v>
      </c>
      <c r="B72" s="81" t="s">
        <v>72</v>
      </c>
      <c r="C72" s="67">
        <v>345</v>
      </c>
      <c r="D72" s="68">
        <f>+'กระดาษทำการ 30 เม.ย.58'!BP71</f>
        <v>0</v>
      </c>
      <c r="E72" s="68">
        <f>+'กระดาษทำการ 30 เม.ย.58'!BQ71</f>
        <v>0</v>
      </c>
      <c r="F72" s="91">
        <v>111</v>
      </c>
      <c r="G72" s="91"/>
      <c r="H72" s="68">
        <f t="shared" si="120"/>
        <v>111</v>
      </c>
      <c r="I72" s="68"/>
      <c r="J72" s="91"/>
      <c r="K72" s="91"/>
      <c r="L72" s="68">
        <f t="shared" si="121"/>
        <v>111</v>
      </c>
      <c r="M72" s="68"/>
      <c r="N72" s="91"/>
      <c r="O72" s="91"/>
      <c r="P72" s="68">
        <f t="shared" si="122"/>
        <v>111</v>
      </c>
      <c r="Q72" s="68"/>
      <c r="R72" s="91"/>
      <c r="S72" s="91"/>
      <c r="T72" s="68">
        <f t="shared" si="123"/>
        <v>111</v>
      </c>
      <c r="U72" s="68"/>
      <c r="V72" s="92">
        <v>47</v>
      </c>
      <c r="W72" s="92"/>
      <c r="X72" s="68">
        <f t="shared" si="124"/>
        <v>158</v>
      </c>
      <c r="Y72" s="68"/>
      <c r="Z72" s="91"/>
      <c r="AA72" s="91"/>
      <c r="AB72" s="68">
        <f t="shared" si="125"/>
        <v>158</v>
      </c>
      <c r="AC72" s="68"/>
      <c r="AD72" s="91"/>
      <c r="AE72" s="91"/>
      <c r="AF72" s="68">
        <f t="shared" si="126"/>
        <v>158</v>
      </c>
      <c r="AG72" s="68"/>
      <c r="AH72" s="91"/>
      <c r="AI72" s="91"/>
      <c r="AJ72" s="68">
        <f t="shared" si="127"/>
        <v>158</v>
      </c>
      <c r="AK72" s="68"/>
      <c r="AL72" s="91">
        <v>40</v>
      </c>
      <c r="AM72" s="91"/>
      <c r="AN72" s="68">
        <f t="shared" si="128"/>
        <v>198</v>
      </c>
      <c r="AO72" s="68"/>
      <c r="AP72" s="91"/>
      <c r="AQ72" s="91"/>
      <c r="AR72" s="68">
        <f t="shared" si="119"/>
        <v>198</v>
      </c>
      <c r="AS72" s="68">
        <f>+AO72+AQ72-AP72</f>
        <v>0</v>
      </c>
      <c r="AT72" s="92">
        <v>20</v>
      </c>
      <c r="AU72" s="91"/>
      <c r="AV72" s="68">
        <f t="shared" si="129"/>
        <v>218</v>
      </c>
      <c r="AW72" s="68"/>
      <c r="AX72" s="91"/>
      <c r="AY72" s="91"/>
      <c r="AZ72" s="152"/>
      <c r="BA72" s="152"/>
      <c r="BB72" s="91"/>
      <c r="BC72" s="91"/>
      <c r="BD72" s="68">
        <f t="shared" si="130"/>
        <v>0</v>
      </c>
      <c r="BE72" s="68"/>
      <c r="BF72" s="91"/>
      <c r="BG72" s="91"/>
      <c r="BH72" s="68">
        <f t="shared" si="131"/>
        <v>0</v>
      </c>
      <c r="BI72" s="68"/>
      <c r="BJ72" s="91"/>
      <c r="BK72" s="91"/>
      <c r="BL72" s="68">
        <f t="shared" si="132"/>
        <v>0</v>
      </c>
      <c r="BM72" s="68"/>
      <c r="BN72" s="91">
        <v>623.89</v>
      </c>
      <c r="BO72" s="91"/>
      <c r="BP72" s="68">
        <f t="shared" si="133"/>
        <v>623.89</v>
      </c>
      <c r="BQ72" s="68"/>
      <c r="BR72" s="91">
        <v>60</v>
      </c>
      <c r="BS72" s="91"/>
      <c r="BT72" s="68">
        <f>BP72+BR72-BS72</f>
        <v>683.89</v>
      </c>
      <c r="BU72" s="68"/>
      <c r="BV72" s="91"/>
      <c r="BW72" s="91"/>
      <c r="BX72" s="68">
        <f>BT72+BV72-BW72</f>
        <v>683.89</v>
      </c>
      <c r="BY72" s="68"/>
      <c r="BZ72" s="91"/>
      <c r="CA72" s="91"/>
      <c r="CB72" s="68">
        <f>BX72+BZ72-CA72</f>
        <v>683.89</v>
      </c>
      <c r="CC72" s="68"/>
      <c r="CD72" s="91"/>
      <c r="CE72" s="91"/>
      <c r="CF72" s="68">
        <f>CB72+CD72-CE72</f>
        <v>683.89</v>
      </c>
      <c r="CG72" s="68"/>
      <c r="CH72" s="91"/>
      <c r="CI72" s="91"/>
      <c r="CJ72" s="68">
        <f>CF72+CH72-CI72</f>
        <v>683.89</v>
      </c>
      <c r="CK72" s="68"/>
      <c r="CL72" s="91"/>
      <c r="CM72" s="91"/>
      <c r="CN72" s="68">
        <f>CJ72+CL72-CM72</f>
        <v>683.89</v>
      </c>
      <c r="CO72" s="68"/>
      <c r="CP72" s="91">
        <v>248.75</v>
      </c>
      <c r="CQ72" s="91"/>
      <c r="CR72" s="68">
        <f>CN72+CP72-CQ72</f>
        <v>932.64</v>
      </c>
      <c r="CS72" s="68"/>
      <c r="CT72" s="91">
        <v>273.07</v>
      </c>
      <c r="CU72" s="91"/>
      <c r="CV72" s="68">
        <f>CR72+CT72-CU72</f>
        <v>1205.71</v>
      </c>
      <c r="CW72" s="68"/>
    </row>
    <row r="73" spans="1:101" ht="24" x14ac:dyDescent="0.55000000000000004">
      <c r="A73" s="67">
        <v>68</v>
      </c>
      <c r="B73" s="81" t="s">
        <v>206</v>
      </c>
      <c r="C73" s="67"/>
      <c r="D73" s="68"/>
      <c r="E73" s="68"/>
      <c r="F73" s="91"/>
      <c r="G73" s="91"/>
      <c r="H73" s="68"/>
      <c r="I73" s="68"/>
      <c r="J73" s="91"/>
      <c r="K73" s="91"/>
      <c r="L73" s="68"/>
      <c r="M73" s="68"/>
      <c r="N73" s="91"/>
      <c r="O73" s="91"/>
      <c r="P73" s="68"/>
      <c r="Q73" s="68"/>
      <c r="R73" s="91"/>
      <c r="S73" s="91"/>
      <c r="T73" s="68"/>
      <c r="U73" s="68"/>
      <c r="V73" s="92"/>
      <c r="W73" s="92"/>
      <c r="X73" s="68"/>
      <c r="Y73" s="68"/>
      <c r="Z73" s="91"/>
      <c r="AA73" s="91"/>
      <c r="AB73" s="68"/>
      <c r="AC73" s="68"/>
      <c r="AD73" s="91"/>
      <c r="AE73" s="91"/>
      <c r="AF73" s="68"/>
      <c r="AG73" s="68"/>
      <c r="AH73" s="91"/>
      <c r="AI73" s="91"/>
      <c r="AJ73" s="68"/>
      <c r="AK73" s="68"/>
      <c r="AL73" s="91"/>
      <c r="AM73" s="91"/>
      <c r="AN73" s="68"/>
      <c r="AO73" s="68"/>
      <c r="AP73" s="91"/>
      <c r="AQ73" s="91"/>
      <c r="AR73" s="68"/>
      <c r="AS73" s="68"/>
      <c r="AT73" s="92"/>
      <c r="AU73" s="91"/>
      <c r="AV73" s="68"/>
      <c r="AW73" s="68"/>
      <c r="AX73" s="91"/>
      <c r="AY73" s="91"/>
      <c r="AZ73" s="152"/>
      <c r="BA73" s="152"/>
      <c r="BB73" s="91"/>
      <c r="BC73" s="91"/>
      <c r="BD73" s="68"/>
      <c r="BE73" s="68"/>
      <c r="BF73" s="91"/>
      <c r="BG73" s="91"/>
      <c r="BH73" s="68"/>
      <c r="BI73" s="68"/>
      <c r="BJ73" s="91"/>
      <c r="BK73" s="91"/>
      <c r="BL73" s="68"/>
      <c r="BM73" s="68"/>
      <c r="BN73" s="91"/>
      <c r="BO73" s="91"/>
      <c r="BP73" s="68"/>
      <c r="BQ73" s="68"/>
      <c r="BR73" s="91"/>
      <c r="BS73" s="91"/>
      <c r="BT73" s="68"/>
      <c r="BU73" s="68"/>
      <c r="BV73" s="91"/>
      <c r="BW73" s="91"/>
      <c r="BX73" s="68"/>
      <c r="BY73" s="68"/>
      <c r="BZ73" s="91"/>
      <c r="CA73" s="91"/>
      <c r="CB73" s="68"/>
      <c r="CC73" s="68"/>
      <c r="CD73" s="91"/>
      <c r="CE73" s="91"/>
      <c r="CF73" s="68"/>
      <c r="CG73" s="68"/>
      <c r="CH73" s="91"/>
      <c r="CI73" s="91"/>
      <c r="CJ73" s="68"/>
      <c r="CK73" s="68"/>
      <c r="CL73" s="91"/>
      <c r="CM73" s="91"/>
      <c r="CN73" s="68"/>
      <c r="CO73" s="68"/>
      <c r="CP73" s="91"/>
      <c r="CQ73" s="91"/>
      <c r="CR73" s="68"/>
      <c r="CS73" s="68"/>
      <c r="CT73" s="91"/>
      <c r="CU73" s="91"/>
      <c r="CV73" s="68"/>
      <c r="CW73" s="68"/>
    </row>
    <row r="74" spans="1:101" ht="24" x14ac:dyDescent="0.55000000000000004">
      <c r="A74" s="67">
        <v>69</v>
      </c>
      <c r="B74" s="81" t="s">
        <v>73</v>
      </c>
      <c r="C74" s="67">
        <v>325</v>
      </c>
      <c r="D74" s="68">
        <f>+'กระดาษทำการ 30 เม.ย.58'!BP72</f>
        <v>0</v>
      </c>
      <c r="E74" s="68">
        <f>+'กระดาษทำการ 30 เม.ย.58'!BQ72</f>
        <v>0</v>
      </c>
      <c r="F74" s="91"/>
      <c r="G74" s="91"/>
      <c r="H74" s="68">
        <f>+D74+F74-G74</f>
        <v>0</v>
      </c>
      <c r="I74" s="68"/>
      <c r="J74" s="91"/>
      <c r="K74" s="91"/>
      <c r="L74" s="68">
        <f>+H74+J74-K74</f>
        <v>0</v>
      </c>
      <c r="M74" s="68"/>
      <c r="N74" s="91"/>
      <c r="O74" s="91"/>
      <c r="P74" s="68">
        <f>+L74+N74-O74</f>
        <v>0</v>
      </c>
      <c r="Q74" s="68"/>
      <c r="R74" s="91"/>
      <c r="S74" s="91"/>
      <c r="T74" s="68">
        <f>+P74+R74-S74</f>
        <v>0</v>
      </c>
      <c r="U74" s="68"/>
      <c r="V74" s="92">
        <v>1600</v>
      </c>
      <c r="W74" s="92"/>
      <c r="X74" s="68">
        <f>+T74+V74-W74</f>
        <v>1600</v>
      </c>
      <c r="Y74" s="68"/>
      <c r="Z74" s="91"/>
      <c r="AA74" s="91"/>
      <c r="AB74" s="68">
        <f>+X74+Z74-AA74</f>
        <v>1600</v>
      </c>
      <c r="AC74" s="68"/>
      <c r="AD74" s="91"/>
      <c r="AE74" s="91"/>
      <c r="AF74" s="68">
        <f>+AB74+AD74-AE74</f>
        <v>1600</v>
      </c>
      <c r="AG74" s="68"/>
      <c r="AH74" s="91"/>
      <c r="AI74" s="91"/>
      <c r="AJ74" s="68">
        <f t="shared" ref="AJ74:AJ90" si="134">+AF74+AH74-AI74</f>
        <v>1600</v>
      </c>
      <c r="AK74" s="68"/>
      <c r="AL74" s="91"/>
      <c r="AM74" s="91"/>
      <c r="AN74" s="68">
        <f t="shared" ref="AN74:AN90" si="135">+AJ74+AL74-AM74</f>
        <v>1600</v>
      </c>
      <c r="AO74" s="68"/>
      <c r="AP74" s="91"/>
      <c r="AQ74" s="91"/>
      <c r="AR74" s="68">
        <f t="shared" ref="AR74:AR90" si="136">+AN74+AP74-AQ74</f>
        <v>1600</v>
      </c>
      <c r="AS74" s="68">
        <f t="shared" ref="AS74:AS90" si="137">+AO74+AQ74-AP74</f>
        <v>0</v>
      </c>
      <c r="AT74" s="91"/>
      <c r="AU74" s="91"/>
      <c r="AV74" s="68">
        <f t="shared" ref="AV74:AV90" si="138">+AR74+AT74-AU74</f>
        <v>1600</v>
      </c>
      <c r="AW74" s="68"/>
      <c r="AX74" s="91"/>
      <c r="AY74" s="91"/>
      <c r="AZ74" s="152"/>
      <c r="BA74" s="152"/>
      <c r="BB74" s="91"/>
      <c r="BC74" s="91"/>
      <c r="BD74" s="68">
        <f t="shared" ref="BD74:BD90" si="139">+AZ74+BB74-BC74</f>
        <v>0</v>
      </c>
      <c r="BE74" s="68"/>
      <c r="BF74" s="91"/>
      <c r="BG74" s="91"/>
      <c r="BH74" s="68">
        <f t="shared" ref="BH74:BH90" si="140">+BD74+BF74-BG74</f>
        <v>0</v>
      </c>
      <c r="BI74" s="68"/>
      <c r="BJ74" s="91"/>
      <c r="BK74" s="91"/>
      <c r="BL74" s="68">
        <f t="shared" ref="BL74:BL90" si="141">+BH74+BJ74-BK74</f>
        <v>0</v>
      </c>
      <c r="BM74" s="68"/>
      <c r="BN74" s="91"/>
      <c r="BO74" s="91"/>
      <c r="BP74" s="68">
        <f t="shared" ref="BP74:BP92" si="142">+BL74+BN74-BO74</f>
        <v>0</v>
      </c>
      <c r="BQ74" s="68"/>
      <c r="BR74" s="91">
        <v>5000</v>
      </c>
      <c r="BS74" s="91"/>
      <c r="BT74" s="68">
        <f t="shared" ref="BT74:BT92" si="143">BP74+BR74-BS74</f>
        <v>5000</v>
      </c>
      <c r="BU74" s="68"/>
      <c r="BV74" s="91"/>
      <c r="BW74" s="91"/>
      <c r="BX74" s="68">
        <f t="shared" ref="BX74:BX92" si="144">BT74+BV74-BW74</f>
        <v>5000</v>
      </c>
      <c r="BY74" s="68"/>
      <c r="BZ74" s="91"/>
      <c r="CA74" s="91"/>
      <c r="CB74" s="68">
        <f t="shared" ref="CB74:CB92" si="145">BX74+BZ74-CA74</f>
        <v>5000</v>
      </c>
      <c r="CC74" s="68"/>
      <c r="CD74" s="91"/>
      <c r="CE74" s="91"/>
      <c r="CF74" s="68">
        <f t="shared" ref="CF74:CF92" si="146">CB74+CD74-CE74</f>
        <v>5000</v>
      </c>
      <c r="CG74" s="68"/>
      <c r="CH74" s="91"/>
      <c r="CI74" s="91"/>
      <c r="CJ74" s="68">
        <f t="shared" ref="CJ74:CJ92" si="147">CF74+CH74-CI74</f>
        <v>5000</v>
      </c>
      <c r="CK74" s="68"/>
      <c r="CL74" s="91"/>
      <c r="CM74" s="91"/>
      <c r="CN74" s="68">
        <f t="shared" ref="CN74:CN92" si="148">CJ74+CL74-CM74</f>
        <v>5000</v>
      </c>
      <c r="CO74" s="68"/>
      <c r="CP74" s="91"/>
      <c r="CQ74" s="91"/>
      <c r="CR74" s="68">
        <f t="shared" ref="CR74:CR97" si="149">CN74+CP74-CQ74</f>
        <v>5000</v>
      </c>
      <c r="CS74" s="68"/>
      <c r="CT74" s="91"/>
      <c r="CU74" s="91"/>
      <c r="CV74" s="68">
        <f t="shared" ref="CV74:CV97" si="150">CR74+CT74-CU74</f>
        <v>5000</v>
      </c>
      <c r="CW74" s="68"/>
    </row>
    <row r="75" spans="1:101" x14ac:dyDescent="0.5">
      <c r="A75" s="67">
        <v>70</v>
      </c>
      <c r="B75" s="81" t="s">
        <v>15</v>
      </c>
      <c r="C75" s="67">
        <v>327</v>
      </c>
      <c r="D75" s="68">
        <f>+'กระดาษทำการ 30 เม.ย.58'!BP73</f>
        <v>0</v>
      </c>
      <c r="E75" s="68">
        <f>+'กระดาษทำการ 30 เม.ย.58'!BQ73</f>
        <v>0</v>
      </c>
      <c r="F75" s="91">
        <v>1835</v>
      </c>
      <c r="G75" s="91"/>
      <c r="H75" s="68">
        <f>+D75+F75-G75</f>
        <v>1835</v>
      </c>
      <c r="I75" s="68"/>
      <c r="J75" s="91"/>
      <c r="K75" s="91"/>
      <c r="L75" s="68">
        <f>+H75+J75-K75</f>
        <v>1835</v>
      </c>
      <c r="M75" s="68"/>
      <c r="N75" s="119">
        <v>400</v>
      </c>
      <c r="O75" s="119"/>
      <c r="P75" s="68">
        <f>+L75+N75-O75</f>
        <v>2235</v>
      </c>
      <c r="Q75" s="68"/>
      <c r="R75" s="91"/>
      <c r="S75" s="91"/>
      <c r="T75" s="68">
        <f>+P75+R75-S75</f>
        <v>2235</v>
      </c>
      <c r="U75" s="68"/>
      <c r="V75" s="91"/>
      <c r="W75" s="91"/>
      <c r="X75" s="68">
        <f>+T75+V75-W75</f>
        <v>2235</v>
      </c>
      <c r="Y75" s="68"/>
      <c r="Z75" s="91"/>
      <c r="AA75" s="91"/>
      <c r="AB75" s="68">
        <f>+X75+Z75-AA75</f>
        <v>2235</v>
      </c>
      <c r="AC75" s="68"/>
      <c r="AD75" s="91">
        <v>380</v>
      </c>
      <c r="AE75" s="91"/>
      <c r="AF75" s="68">
        <f>+AB75+AD75-AE75</f>
        <v>2615</v>
      </c>
      <c r="AG75" s="68"/>
      <c r="AH75" s="91"/>
      <c r="AI75" s="91"/>
      <c r="AJ75" s="68">
        <f t="shared" si="134"/>
        <v>2615</v>
      </c>
      <c r="AK75" s="68"/>
      <c r="AL75" s="91"/>
      <c r="AM75" s="91"/>
      <c r="AN75" s="68">
        <f t="shared" si="135"/>
        <v>2615</v>
      </c>
      <c r="AO75" s="68"/>
      <c r="AP75" s="91"/>
      <c r="AQ75" s="91"/>
      <c r="AR75" s="68">
        <f t="shared" si="136"/>
        <v>2615</v>
      </c>
      <c r="AS75" s="68">
        <f t="shared" si="137"/>
        <v>0</v>
      </c>
      <c r="AT75" s="91">
        <v>225</v>
      </c>
      <c r="AU75" s="91"/>
      <c r="AV75" s="68">
        <f t="shared" si="138"/>
        <v>2840</v>
      </c>
      <c r="AW75" s="68"/>
      <c r="AX75" s="91">
        <v>175</v>
      </c>
      <c r="AY75" s="91"/>
      <c r="AZ75" s="152"/>
      <c r="BA75" s="152"/>
      <c r="BB75" s="91"/>
      <c r="BC75" s="91"/>
      <c r="BD75" s="68">
        <f t="shared" si="139"/>
        <v>0</v>
      </c>
      <c r="BE75" s="68"/>
      <c r="BF75" s="91"/>
      <c r="BG75" s="91"/>
      <c r="BH75" s="68">
        <f t="shared" si="140"/>
        <v>0</v>
      </c>
      <c r="BI75" s="68"/>
      <c r="BJ75" s="91"/>
      <c r="BK75" s="91"/>
      <c r="BL75" s="68">
        <f t="shared" si="141"/>
        <v>0</v>
      </c>
      <c r="BM75" s="68"/>
      <c r="BN75" s="91"/>
      <c r="BO75" s="91"/>
      <c r="BP75" s="68">
        <f t="shared" si="142"/>
        <v>0</v>
      </c>
      <c r="BQ75" s="68"/>
      <c r="BR75" s="91"/>
      <c r="BS75" s="91"/>
      <c r="BT75" s="68">
        <f t="shared" si="143"/>
        <v>0</v>
      </c>
      <c r="BU75" s="68"/>
      <c r="BV75" s="91"/>
      <c r="BW75" s="91"/>
      <c r="BX75" s="68">
        <f t="shared" si="144"/>
        <v>0</v>
      </c>
      <c r="BY75" s="68"/>
      <c r="BZ75" s="91"/>
      <c r="CA75" s="91"/>
      <c r="CB75" s="68">
        <f t="shared" si="145"/>
        <v>0</v>
      </c>
      <c r="CC75" s="68"/>
      <c r="CD75" s="91"/>
      <c r="CE75" s="91"/>
      <c r="CF75" s="68">
        <f t="shared" si="146"/>
        <v>0</v>
      </c>
      <c r="CG75" s="68"/>
      <c r="CH75" s="91"/>
      <c r="CI75" s="91"/>
      <c r="CJ75" s="68">
        <f t="shared" si="147"/>
        <v>0</v>
      </c>
      <c r="CK75" s="68"/>
      <c r="CL75" s="91"/>
      <c r="CM75" s="91"/>
      <c r="CN75" s="68">
        <f t="shared" si="148"/>
        <v>0</v>
      </c>
      <c r="CO75" s="68"/>
      <c r="CP75" s="91"/>
      <c r="CQ75" s="91"/>
      <c r="CR75" s="68">
        <f t="shared" si="149"/>
        <v>0</v>
      </c>
      <c r="CS75" s="68"/>
      <c r="CT75" s="91">
        <v>330</v>
      </c>
      <c r="CU75" s="91"/>
      <c r="CV75" s="68">
        <f t="shared" si="150"/>
        <v>330</v>
      </c>
      <c r="CW75" s="68"/>
    </row>
    <row r="76" spans="1:101" x14ac:dyDescent="0.5">
      <c r="A76" s="67">
        <v>71</v>
      </c>
      <c r="B76" s="81" t="s">
        <v>198</v>
      </c>
      <c r="C76" s="67">
        <v>329</v>
      </c>
      <c r="D76" s="68">
        <f>+'กระดาษทำการ 30 เม.ย.58'!BP74</f>
        <v>0</v>
      </c>
      <c r="E76" s="68">
        <f>+'กระดาษทำการ 30 เม.ย.58'!BQ74</f>
        <v>0</v>
      </c>
      <c r="F76" s="91"/>
      <c r="G76" s="91"/>
      <c r="H76" s="68">
        <f>+D76+F76-G76</f>
        <v>0</v>
      </c>
      <c r="I76" s="68"/>
      <c r="J76" s="91"/>
      <c r="K76" s="91"/>
      <c r="L76" s="68">
        <f>+H76+J76-K76</f>
        <v>0</v>
      </c>
      <c r="M76" s="68"/>
      <c r="N76" s="91"/>
      <c r="O76" s="91"/>
      <c r="P76" s="68">
        <f>+L76+N76-O76</f>
        <v>0</v>
      </c>
      <c r="Q76" s="68"/>
      <c r="R76" s="91"/>
      <c r="S76" s="91"/>
      <c r="T76" s="68">
        <f>+P76+R76-S76</f>
        <v>0</v>
      </c>
      <c r="U76" s="68"/>
      <c r="V76" s="91"/>
      <c r="W76" s="91"/>
      <c r="X76" s="68">
        <f>+T76+V76-W76</f>
        <v>0</v>
      </c>
      <c r="Y76" s="68"/>
      <c r="Z76" s="91"/>
      <c r="AA76" s="91"/>
      <c r="AB76" s="68">
        <f>+X76+Z76-AA76</f>
        <v>0</v>
      </c>
      <c r="AC76" s="68"/>
      <c r="AD76" s="91"/>
      <c r="AE76" s="91"/>
      <c r="AF76" s="68">
        <f>+AB76+AD76-AE76</f>
        <v>0</v>
      </c>
      <c r="AG76" s="68"/>
      <c r="AH76" s="91"/>
      <c r="AI76" s="91"/>
      <c r="AJ76" s="68">
        <f t="shared" si="134"/>
        <v>0</v>
      </c>
      <c r="AK76" s="68"/>
      <c r="AL76" s="91"/>
      <c r="AM76" s="91"/>
      <c r="AN76" s="68">
        <f t="shared" si="135"/>
        <v>0</v>
      </c>
      <c r="AO76" s="68"/>
      <c r="AP76" s="91"/>
      <c r="AQ76" s="91"/>
      <c r="AR76" s="68">
        <f t="shared" si="136"/>
        <v>0</v>
      </c>
      <c r="AS76" s="68">
        <f t="shared" si="137"/>
        <v>0</v>
      </c>
      <c r="AT76" s="91"/>
      <c r="AU76" s="91"/>
      <c r="AV76" s="68">
        <f t="shared" si="138"/>
        <v>0</v>
      </c>
      <c r="AW76" s="68"/>
      <c r="AX76" s="91"/>
      <c r="AY76" s="91"/>
      <c r="AZ76" s="152"/>
      <c r="BA76" s="152"/>
      <c r="BB76" s="91"/>
      <c r="BC76" s="91"/>
      <c r="BD76" s="68">
        <f t="shared" si="139"/>
        <v>0</v>
      </c>
      <c r="BE76" s="68"/>
      <c r="BF76" s="91"/>
      <c r="BG76" s="91"/>
      <c r="BH76" s="68">
        <f t="shared" si="140"/>
        <v>0</v>
      </c>
      <c r="BI76" s="68"/>
      <c r="BJ76" s="91"/>
      <c r="BK76" s="91"/>
      <c r="BL76" s="68">
        <f t="shared" si="141"/>
        <v>0</v>
      </c>
      <c r="BM76" s="68"/>
      <c r="BN76" s="91"/>
      <c r="BO76" s="91"/>
      <c r="BP76" s="68">
        <f t="shared" si="142"/>
        <v>0</v>
      </c>
      <c r="BQ76" s="68"/>
      <c r="BR76" s="91"/>
      <c r="BS76" s="91"/>
      <c r="BT76" s="68">
        <f t="shared" si="143"/>
        <v>0</v>
      </c>
      <c r="BU76" s="68"/>
      <c r="BV76" s="91"/>
      <c r="BW76" s="91"/>
      <c r="BX76" s="68">
        <f t="shared" si="144"/>
        <v>0</v>
      </c>
      <c r="BY76" s="68"/>
      <c r="BZ76" s="91"/>
      <c r="CA76" s="91"/>
      <c r="CB76" s="68">
        <f t="shared" si="145"/>
        <v>0</v>
      </c>
      <c r="CC76" s="68"/>
      <c r="CD76" s="91"/>
      <c r="CE76" s="91"/>
      <c r="CF76" s="68">
        <f t="shared" si="146"/>
        <v>0</v>
      </c>
      <c r="CG76" s="68"/>
      <c r="CH76" s="91">
        <v>272</v>
      </c>
      <c r="CI76" s="91"/>
      <c r="CJ76" s="68">
        <f t="shared" si="147"/>
        <v>272</v>
      </c>
      <c r="CK76" s="68"/>
      <c r="CL76" s="91"/>
      <c r="CM76" s="91"/>
      <c r="CN76" s="68">
        <f t="shared" si="148"/>
        <v>272</v>
      </c>
      <c r="CO76" s="68"/>
      <c r="CP76" s="91"/>
      <c r="CQ76" s="91"/>
      <c r="CR76" s="68">
        <f t="shared" si="149"/>
        <v>272</v>
      </c>
      <c r="CS76" s="68"/>
      <c r="CT76" s="91"/>
      <c r="CU76" s="91"/>
      <c r="CV76" s="68">
        <f t="shared" si="150"/>
        <v>272</v>
      </c>
      <c r="CW76" s="68"/>
    </row>
    <row r="77" spans="1:101" ht="24" x14ac:dyDescent="0.55000000000000004">
      <c r="A77" s="67">
        <v>72</v>
      </c>
      <c r="B77" s="81" t="s">
        <v>75</v>
      </c>
      <c r="C77" s="67">
        <v>331</v>
      </c>
      <c r="D77" s="68">
        <f>+'กระดาษทำการ 30 เม.ย.58'!BP75</f>
        <v>0</v>
      </c>
      <c r="E77" s="68">
        <f>+'กระดาษทำการ 30 เม.ย.58'!BQ75</f>
        <v>0</v>
      </c>
      <c r="F77" s="119">
        <v>368.5</v>
      </c>
      <c r="G77" s="91"/>
      <c r="H77" s="68">
        <f>+D77+F77-G77</f>
        <v>368.5</v>
      </c>
      <c r="I77" s="68"/>
      <c r="J77" s="91"/>
      <c r="K77" s="91"/>
      <c r="L77" s="68">
        <f>+H77+J77-K77</f>
        <v>368.5</v>
      </c>
      <c r="M77" s="68"/>
      <c r="N77" s="119">
        <f>368.5+368.5</f>
        <v>737</v>
      </c>
      <c r="O77" s="119"/>
      <c r="P77" s="68">
        <f>+L77+N77-O77</f>
        <v>1105.5</v>
      </c>
      <c r="Q77" s="68"/>
      <c r="R77" s="92">
        <v>368.5</v>
      </c>
      <c r="S77" s="92"/>
      <c r="T77" s="68">
        <f>+P77+R77-S77</f>
        <v>1474</v>
      </c>
      <c r="U77" s="68"/>
      <c r="V77" s="92">
        <v>368.5</v>
      </c>
      <c r="W77" s="92"/>
      <c r="X77" s="68">
        <f>+T77+V77-W77</f>
        <v>1842.5</v>
      </c>
      <c r="Y77" s="68"/>
      <c r="Z77" s="92">
        <v>368.5</v>
      </c>
      <c r="AA77" s="92"/>
      <c r="AB77" s="68">
        <f>+X77+Z77-AA77</f>
        <v>2211</v>
      </c>
      <c r="AC77" s="68"/>
      <c r="AD77" s="91"/>
      <c r="AE77" s="91"/>
      <c r="AF77" s="68">
        <f>+AB77+AD77-AE77</f>
        <v>2211</v>
      </c>
      <c r="AG77" s="68"/>
      <c r="AH77" s="91"/>
      <c r="AI77" s="91"/>
      <c r="AJ77" s="68">
        <f t="shared" si="134"/>
        <v>2211</v>
      </c>
      <c r="AK77" s="68"/>
      <c r="AL77" s="91"/>
      <c r="AM77" s="91"/>
      <c r="AN77" s="68">
        <f t="shared" si="135"/>
        <v>2211</v>
      </c>
      <c r="AO77" s="68"/>
      <c r="AP77" s="91"/>
      <c r="AQ77" s="91"/>
      <c r="AR77" s="68">
        <f t="shared" si="136"/>
        <v>2211</v>
      </c>
      <c r="AS77" s="68">
        <f t="shared" si="137"/>
        <v>0</v>
      </c>
      <c r="AT77" s="91"/>
      <c r="AU77" s="91"/>
      <c r="AV77" s="68">
        <f t="shared" si="138"/>
        <v>2211</v>
      </c>
      <c r="AW77" s="68"/>
      <c r="AX77" s="91"/>
      <c r="AY77" s="91"/>
      <c r="AZ77" s="152"/>
      <c r="BA77" s="152"/>
      <c r="BB77" s="91"/>
      <c r="BC77" s="91"/>
      <c r="BD77" s="68">
        <f t="shared" si="139"/>
        <v>0</v>
      </c>
      <c r="BE77" s="68"/>
      <c r="BF77" s="91"/>
      <c r="BG77" s="91"/>
      <c r="BH77" s="68">
        <f t="shared" si="140"/>
        <v>0</v>
      </c>
      <c r="BI77" s="68"/>
      <c r="BJ77" s="91"/>
      <c r="BK77" s="91"/>
      <c r="BL77" s="68">
        <f t="shared" si="141"/>
        <v>0</v>
      </c>
      <c r="BM77" s="68"/>
      <c r="BN77" s="91"/>
      <c r="BO77" s="91"/>
      <c r="BP77" s="68">
        <f t="shared" si="142"/>
        <v>0</v>
      </c>
      <c r="BQ77" s="68"/>
      <c r="BR77" s="91"/>
      <c r="BS77" s="91"/>
      <c r="BT77" s="68">
        <f t="shared" si="143"/>
        <v>0</v>
      </c>
      <c r="BU77" s="68"/>
      <c r="BV77" s="91"/>
      <c r="BW77" s="91"/>
      <c r="BX77" s="68">
        <f t="shared" si="144"/>
        <v>0</v>
      </c>
      <c r="BY77" s="68"/>
      <c r="BZ77" s="91"/>
      <c r="CA77" s="91"/>
      <c r="CB77" s="68">
        <f t="shared" si="145"/>
        <v>0</v>
      </c>
      <c r="CC77" s="68"/>
      <c r="CD77" s="91"/>
      <c r="CE77" s="91"/>
      <c r="CF77" s="68">
        <f t="shared" si="146"/>
        <v>0</v>
      </c>
      <c r="CG77" s="68"/>
      <c r="CH77" s="91"/>
      <c r="CI77" s="91"/>
      <c r="CJ77" s="68">
        <f t="shared" si="147"/>
        <v>0</v>
      </c>
      <c r="CK77" s="68"/>
      <c r="CL77" s="91"/>
      <c r="CM77" s="91"/>
      <c r="CN77" s="68">
        <f t="shared" si="148"/>
        <v>0</v>
      </c>
      <c r="CO77" s="68"/>
      <c r="CP77" s="91"/>
      <c r="CQ77" s="91"/>
      <c r="CR77" s="68">
        <f t="shared" si="149"/>
        <v>0</v>
      </c>
      <c r="CS77" s="68"/>
      <c r="CT77" s="91"/>
      <c r="CU77" s="91"/>
      <c r="CV77" s="68">
        <f t="shared" si="150"/>
        <v>0</v>
      </c>
      <c r="CW77" s="68"/>
    </row>
    <row r="78" spans="1:101" ht="24" x14ac:dyDescent="0.55000000000000004">
      <c r="A78" s="67">
        <v>73</v>
      </c>
      <c r="B78" s="81" t="s">
        <v>154</v>
      </c>
      <c r="C78" s="67"/>
      <c r="D78" s="68"/>
      <c r="E78" s="68"/>
      <c r="F78" s="119"/>
      <c r="G78" s="91"/>
      <c r="H78" s="68"/>
      <c r="I78" s="68"/>
      <c r="J78" s="91"/>
      <c r="K78" s="91"/>
      <c r="L78" s="68"/>
      <c r="M78" s="68"/>
      <c r="N78" s="119"/>
      <c r="O78" s="119"/>
      <c r="P78" s="68"/>
      <c r="Q78" s="68"/>
      <c r="R78" s="92"/>
      <c r="S78" s="92"/>
      <c r="T78" s="68"/>
      <c r="U78" s="68"/>
      <c r="V78" s="92"/>
      <c r="W78" s="92"/>
      <c r="X78" s="68"/>
      <c r="Y78" s="68"/>
      <c r="Z78" s="92"/>
      <c r="AA78" s="92"/>
      <c r="AB78" s="68"/>
      <c r="AC78" s="68"/>
      <c r="AD78" s="91"/>
      <c r="AE78" s="91"/>
      <c r="AF78" s="68"/>
      <c r="AG78" s="68"/>
      <c r="AH78" s="91">
        <v>46.69</v>
      </c>
      <c r="AI78" s="91"/>
      <c r="AJ78" s="68">
        <f t="shared" si="134"/>
        <v>46.69</v>
      </c>
      <c r="AK78" s="68"/>
      <c r="AL78" s="91"/>
      <c r="AM78" s="91"/>
      <c r="AN78" s="68">
        <f t="shared" si="135"/>
        <v>46.69</v>
      </c>
      <c r="AO78" s="68"/>
      <c r="AP78" s="91"/>
      <c r="AQ78" s="91"/>
      <c r="AR78" s="68">
        <f t="shared" si="136"/>
        <v>46.69</v>
      </c>
      <c r="AS78" s="68">
        <f t="shared" si="137"/>
        <v>0</v>
      </c>
      <c r="AT78" s="91"/>
      <c r="AU78" s="91"/>
      <c r="AV78" s="68">
        <f t="shared" si="138"/>
        <v>46.69</v>
      </c>
      <c r="AW78" s="68"/>
      <c r="AX78" s="91"/>
      <c r="AY78" s="91"/>
      <c r="AZ78" s="152"/>
      <c r="BA78" s="152"/>
      <c r="BB78" s="91"/>
      <c r="BC78" s="91"/>
      <c r="BD78" s="68">
        <f t="shared" si="139"/>
        <v>0</v>
      </c>
      <c r="BE78" s="68"/>
      <c r="BF78" s="91"/>
      <c r="BG78" s="91"/>
      <c r="BH78" s="68">
        <f t="shared" si="140"/>
        <v>0</v>
      </c>
      <c r="BI78" s="68"/>
      <c r="BJ78" s="91"/>
      <c r="BK78" s="91"/>
      <c r="BL78" s="68">
        <f t="shared" si="141"/>
        <v>0</v>
      </c>
      <c r="BM78" s="68"/>
      <c r="BN78" s="91"/>
      <c r="BO78" s="91"/>
      <c r="BP78" s="68">
        <f t="shared" si="142"/>
        <v>0</v>
      </c>
      <c r="BQ78" s="68"/>
      <c r="BR78" s="91"/>
      <c r="BS78" s="91"/>
      <c r="BT78" s="68">
        <f t="shared" si="143"/>
        <v>0</v>
      </c>
      <c r="BU78" s="68"/>
      <c r="BV78" s="91"/>
      <c r="BW78" s="91"/>
      <c r="BX78" s="68">
        <f t="shared" si="144"/>
        <v>0</v>
      </c>
      <c r="BY78" s="68"/>
      <c r="BZ78" s="91"/>
      <c r="CA78" s="91"/>
      <c r="CB78" s="68">
        <f t="shared" si="145"/>
        <v>0</v>
      </c>
      <c r="CC78" s="68"/>
      <c r="CD78" s="91"/>
      <c r="CE78" s="91"/>
      <c r="CF78" s="68">
        <f t="shared" si="146"/>
        <v>0</v>
      </c>
      <c r="CG78" s="68"/>
      <c r="CH78" s="91"/>
      <c r="CI78" s="91"/>
      <c r="CJ78" s="68">
        <f t="shared" si="147"/>
        <v>0</v>
      </c>
      <c r="CK78" s="68"/>
      <c r="CL78" s="91"/>
      <c r="CM78" s="91"/>
      <c r="CN78" s="68">
        <f t="shared" si="148"/>
        <v>0</v>
      </c>
      <c r="CO78" s="68"/>
      <c r="CP78" s="91"/>
      <c r="CQ78" s="91"/>
      <c r="CR78" s="68">
        <f t="shared" si="149"/>
        <v>0</v>
      </c>
      <c r="CS78" s="68"/>
      <c r="CT78" s="91"/>
      <c r="CU78" s="91"/>
      <c r="CV78" s="68">
        <f t="shared" si="150"/>
        <v>0</v>
      </c>
      <c r="CW78" s="68"/>
    </row>
    <row r="79" spans="1:101" ht="24" x14ac:dyDescent="0.55000000000000004">
      <c r="A79" s="67">
        <v>74</v>
      </c>
      <c r="B79" s="81" t="s">
        <v>197</v>
      </c>
      <c r="C79" s="67"/>
      <c r="D79" s="68"/>
      <c r="E79" s="68"/>
      <c r="F79" s="119"/>
      <c r="G79" s="91"/>
      <c r="H79" s="68"/>
      <c r="I79" s="68"/>
      <c r="J79" s="91"/>
      <c r="K79" s="91"/>
      <c r="L79" s="68"/>
      <c r="M79" s="68"/>
      <c r="N79" s="119"/>
      <c r="O79" s="119"/>
      <c r="P79" s="68"/>
      <c r="Q79" s="68"/>
      <c r="R79" s="92"/>
      <c r="S79" s="92"/>
      <c r="T79" s="68"/>
      <c r="U79" s="68"/>
      <c r="V79" s="92"/>
      <c r="W79" s="92"/>
      <c r="X79" s="68"/>
      <c r="Y79" s="68"/>
      <c r="Z79" s="92"/>
      <c r="AA79" s="92"/>
      <c r="AB79" s="68"/>
      <c r="AC79" s="68"/>
      <c r="AD79" s="91"/>
      <c r="AE79" s="91"/>
      <c r="AF79" s="68"/>
      <c r="AG79" s="68"/>
      <c r="AH79" s="91">
        <v>270</v>
      </c>
      <c r="AI79" s="91"/>
      <c r="AJ79" s="68">
        <f t="shared" si="134"/>
        <v>270</v>
      </c>
      <c r="AK79" s="68"/>
      <c r="AL79" s="91"/>
      <c r="AM79" s="91"/>
      <c r="AN79" s="68">
        <f t="shared" si="135"/>
        <v>270</v>
      </c>
      <c r="AO79" s="68"/>
      <c r="AP79" s="91"/>
      <c r="AQ79" s="91"/>
      <c r="AR79" s="68">
        <f t="shared" si="136"/>
        <v>270</v>
      </c>
      <c r="AS79" s="68">
        <f t="shared" si="137"/>
        <v>0</v>
      </c>
      <c r="AT79" s="91"/>
      <c r="AU79" s="91"/>
      <c r="AV79" s="68">
        <f t="shared" si="138"/>
        <v>270</v>
      </c>
      <c r="AW79" s="68"/>
      <c r="AX79" s="91"/>
      <c r="AY79" s="91"/>
      <c r="AZ79" s="152"/>
      <c r="BA79" s="152"/>
      <c r="BB79" s="91"/>
      <c r="BC79" s="91"/>
      <c r="BD79" s="68">
        <f t="shared" si="139"/>
        <v>0</v>
      </c>
      <c r="BE79" s="68"/>
      <c r="BF79" s="91"/>
      <c r="BG79" s="91"/>
      <c r="BH79" s="68">
        <f t="shared" si="140"/>
        <v>0</v>
      </c>
      <c r="BI79" s="68"/>
      <c r="BJ79" s="91"/>
      <c r="BK79" s="91"/>
      <c r="BL79" s="68">
        <f t="shared" si="141"/>
        <v>0</v>
      </c>
      <c r="BM79" s="68"/>
      <c r="BN79" s="91"/>
      <c r="BO79" s="91"/>
      <c r="BP79" s="68">
        <f t="shared" si="142"/>
        <v>0</v>
      </c>
      <c r="BQ79" s="68"/>
      <c r="BR79" s="91"/>
      <c r="BS79" s="91"/>
      <c r="BT79" s="68">
        <f t="shared" si="143"/>
        <v>0</v>
      </c>
      <c r="BU79" s="68"/>
      <c r="BV79" s="91"/>
      <c r="BW79" s="91"/>
      <c r="BX79" s="68">
        <f t="shared" si="144"/>
        <v>0</v>
      </c>
      <c r="BY79" s="68"/>
      <c r="BZ79" s="91"/>
      <c r="CA79" s="91"/>
      <c r="CB79" s="68">
        <f t="shared" si="145"/>
        <v>0</v>
      </c>
      <c r="CC79" s="68"/>
      <c r="CD79" s="91"/>
      <c r="CE79" s="91"/>
      <c r="CF79" s="68">
        <f t="shared" si="146"/>
        <v>0</v>
      </c>
      <c r="CG79" s="68"/>
      <c r="CH79" s="91"/>
      <c r="CI79" s="91"/>
      <c r="CJ79" s="68">
        <f t="shared" si="147"/>
        <v>0</v>
      </c>
      <c r="CK79" s="68"/>
      <c r="CL79" s="91"/>
      <c r="CM79" s="91"/>
      <c r="CN79" s="68">
        <f t="shared" si="148"/>
        <v>0</v>
      </c>
      <c r="CO79" s="68"/>
      <c r="CP79" s="91"/>
      <c r="CQ79" s="91"/>
      <c r="CR79" s="68">
        <f t="shared" si="149"/>
        <v>0</v>
      </c>
      <c r="CS79" s="68"/>
      <c r="CT79" s="91"/>
      <c r="CU79" s="91"/>
      <c r="CV79" s="68">
        <f t="shared" si="150"/>
        <v>0</v>
      </c>
      <c r="CW79" s="68"/>
    </row>
    <row r="80" spans="1:101" ht="24" x14ac:dyDescent="0.55000000000000004">
      <c r="A80" s="67">
        <v>75</v>
      </c>
      <c r="B80" s="81" t="s">
        <v>24</v>
      </c>
      <c r="C80" s="67">
        <v>333</v>
      </c>
      <c r="D80" s="68">
        <f>+'กระดาษทำการ 30 เม.ย.58'!BP76</f>
        <v>0</v>
      </c>
      <c r="E80" s="68">
        <f>+'กระดาษทำการ 30 เม.ย.58'!BQ76</f>
        <v>0</v>
      </c>
      <c r="F80" s="91">
        <v>200</v>
      </c>
      <c r="G80" s="91"/>
      <c r="H80" s="68">
        <f t="shared" ref="H80:H90" si="151">+D80+F80-G80</f>
        <v>200</v>
      </c>
      <c r="I80" s="68"/>
      <c r="J80" s="91"/>
      <c r="K80" s="91"/>
      <c r="L80" s="68">
        <f t="shared" ref="L80:L90" si="152">+H80+J80-K80</f>
        <v>200</v>
      </c>
      <c r="M80" s="68"/>
      <c r="N80" s="91"/>
      <c r="O80" s="91"/>
      <c r="P80" s="68">
        <f t="shared" ref="P80:P90" si="153">+L80+N80-O80</f>
        <v>200</v>
      </c>
      <c r="Q80" s="68"/>
      <c r="R80" s="92">
        <v>110</v>
      </c>
      <c r="S80" s="92"/>
      <c r="T80" s="68">
        <f t="shared" ref="T80:T92" si="154">+P80+R80-S80</f>
        <v>310</v>
      </c>
      <c r="U80" s="68"/>
      <c r="V80" s="92">
        <v>130</v>
      </c>
      <c r="W80" s="92"/>
      <c r="X80" s="68">
        <f t="shared" ref="X80:X92" si="155">+T80+V80-W80</f>
        <v>440</v>
      </c>
      <c r="Y80" s="68"/>
      <c r="Z80" s="91"/>
      <c r="AA80" s="91"/>
      <c r="AB80" s="68">
        <f t="shared" ref="AB80:AB90" si="156">+X80+Z80-AA80</f>
        <v>440</v>
      </c>
      <c r="AC80" s="68"/>
      <c r="AD80" s="91"/>
      <c r="AE80" s="91"/>
      <c r="AF80" s="68">
        <f t="shared" ref="AF80:AF90" si="157">+AB80+AD80-AE80</f>
        <v>440</v>
      </c>
      <c r="AG80" s="68"/>
      <c r="AH80" s="91">
        <f>30+300</f>
        <v>330</v>
      </c>
      <c r="AI80" s="91"/>
      <c r="AJ80" s="68">
        <f t="shared" si="134"/>
        <v>770</v>
      </c>
      <c r="AK80" s="68"/>
      <c r="AL80" s="91"/>
      <c r="AM80" s="91"/>
      <c r="AN80" s="68">
        <f t="shared" si="135"/>
        <v>770</v>
      </c>
      <c r="AO80" s="68"/>
      <c r="AP80" s="91"/>
      <c r="AQ80" s="91"/>
      <c r="AR80" s="68">
        <f t="shared" si="136"/>
        <v>770</v>
      </c>
      <c r="AS80" s="68">
        <f t="shared" si="137"/>
        <v>0</v>
      </c>
      <c r="AT80" s="92">
        <v>225</v>
      </c>
      <c r="AU80" s="91"/>
      <c r="AV80" s="68">
        <f t="shared" si="138"/>
        <v>995</v>
      </c>
      <c r="AW80" s="68"/>
      <c r="AX80" s="91">
        <v>460</v>
      </c>
      <c r="AY80" s="91"/>
      <c r="AZ80" s="152"/>
      <c r="BA80" s="152"/>
      <c r="BB80" s="91">
        <v>150</v>
      </c>
      <c r="BC80" s="91"/>
      <c r="BD80" s="68">
        <f t="shared" si="139"/>
        <v>150</v>
      </c>
      <c r="BE80" s="68"/>
      <c r="BF80" s="91"/>
      <c r="BG80" s="91"/>
      <c r="BH80" s="68">
        <f t="shared" si="140"/>
        <v>150</v>
      </c>
      <c r="BI80" s="68"/>
      <c r="BJ80" s="91"/>
      <c r="BK80" s="91"/>
      <c r="BL80" s="68">
        <f t="shared" si="141"/>
        <v>150</v>
      </c>
      <c r="BM80" s="68"/>
      <c r="BN80" s="91"/>
      <c r="BO80" s="91"/>
      <c r="BP80" s="68">
        <f t="shared" si="142"/>
        <v>150</v>
      </c>
      <c r="BQ80" s="68"/>
      <c r="BR80" s="91"/>
      <c r="BS80" s="91"/>
      <c r="BT80" s="68">
        <f t="shared" si="143"/>
        <v>150</v>
      </c>
      <c r="BU80" s="68"/>
      <c r="BV80" s="91"/>
      <c r="BW80" s="91"/>
      <c r="BX80" s="68">
        <f t="shared" si="144"/>
        <v>150</v>
      </c>
      <c r="BY80" s="68"/>
      <c r="BZ80" s="91"/>
      <c r="CA80" s="91"/>
      <c r="CB80" s="68">
        <f t="shared" si="145"/>
        <v>150</v>
      </c>
      <c r="CC80" s="68"/>
      <c r="CD80" s="91"/>
      <c r="CE80" s="91"/>
      <c r="CF80" s="68">
        <f t="shared" si="146"/>
        <v>150</v>
      </c>
      <c r="CG80" s="68"/>
      <c r="CH80" s="91"/>
      <c r="CI80" s="91"/>
      <c r="CJ80" s="68">
        <f t="shared" si="147"/>
        <v>150</v>
      </c>
      <c r="CK80" s="68"/>
      <c r="CL80" s="91"/>
      <c r="CM80" s="91"/>
      <c r="CN80" s="68">
        <f t="shared" si="148"/>
        <v>150</v>
      </c>
      <c r="CO80" s="68"/>
      <c r="CP80" s="91"/>
      <c r="CQ80" s="91"/>
      <c r="CR80" s="68">
        <f t="shared" si="149"/>
        <v>150</v>
      </c>
      <c r="CS80" s="68"/>
      <c r="CT80" s="91"/>
      <c r="CU80" s="91"/>
      <c r="CV80" s="68">
        <f t="shared" si="150"/>
        <v>150</v>
      </c>
      <c r="CW80" s="68"/>
    </row>
    <row r="81" spans="1:101" x14ac:dyDescent="0.5">
      <c r="A81" s="67">
        <v>76</v>
      </c>
      <c r="B81" s="81" t="s">
        <v>16</v>
      </c>
      <c r="C81" s="67">
        <v>335</v>
      </c>
      <c r="D81" s="68">
        <f>+'กระดาษทำการ 30 เม.ย.58'!BP77</f>
        <v>0</v>
      </c>
      <c r="E81" s="68">
        <f>+'กระดาษทำการ 30 เม.ย.58'!BQ77</f>
        <v>0</v>
      </c>
      <c r="F81" s="91"/>
      <c r="G81" s="91"/>
      <c r="H81" s="68">
        <f t="shared" si="151"/>
        <v>0</v>
      </c>
      <c r="I81" s="68"/>
      <c r="J81" s="91"/>
      <c r="K81" s="91"/>
      <c r="L81" s="68">
        <f t="shared" si="152"/>
        <v>0</v>
      </c>
      <c r="M81" s="68"/>
      <c r="N81" s="91"/>
      <c r="O81" s="91"/>
      <c r="P81" s="68">
        <f t="shared" si="153"/>
        <v>0</v>
      </c>
      <c r="Q81" s="68"/>
      <c r="R81" s="91"/>
      <c r="S81" s="91"/>
      <c r="T81" s="68">
        <f t="shared" si="154"/>
        <v>0</v>
      </c>
      <c r="U81" s="68"/>
      <c r="V81" s="91"/>
      <c r="W81" s="91"/>
      <c r="X81" s="68">
        <f t="shared" si="155"/>
        <v>0</v>
      </c>
      <c r="Y81" s="68"/>
      <c r="Z81" s="91"/>
      <c r="AA81" s="91"/>
      <c r="AB81" s="68">
        <f t="shared" si="156"/>
        <v>0</v>
      </c>
      <c r="AC81" s="68"/>
      <c r="AD81" s="91"/>
      <c r="AE81" s="91"/>
      <c r="AF81" s="68">
        <f t="shared" si="157"/>
        <v>0</v>
      </c>
      <c r="AG81" s="68"/>
      <c r="AH81" s="91"/>
      <c r="AI81" s="91"/>
      <c r="AJ81" s="68">
        <f t="shared" si="134"/>
        <v>0</v>
      </c>
      <c r="AK81" s="68"/>
      <c r="AL81" s="91"/>
      <c r="AM81" s="91"/>
      <c r="AN81" s="68">
        <f t="shared" si="135"/>
        <v>0</v>
      </c>
      <c r="AO81" s="68"/>
      <c r="AP81" s="91"/>
      <c r="AQ81" s="91"/>
      <c r="AR81" s="68">
        <f t="shared" si="136"/>
        <v>0</v>
      </c>
      <c r="AS81" s="68">
        <f t="shared" si="137"/>
        <v>0</v>
      </c>
      <c r="AT81" s="91"/>
      <c r="AU81" s="91"/>
      <c r="AV81" s="68">
        <f t="shared" si="138"/>
        <v>0</v>
      </c>
      <c r="AW81" s="68"/>
      <c r="AX81" s="91"/>
      <c r="AY81" s="91"/>
      <c r="AZ81" s="152"/>
      <c r="BA81" s="152"/>
      <c r="BB81" s="91"/>
      <c r="BC81" s="91"/>
      <c r="BD81" s="68">
        <f t="shared" si="139"/>
        <v>0</v>
      </c>
      <c r="BE81" s="68"/>
      <c r="BF81" s="91"/>
      <c r="BG81" s="91"/>
      <c r="BH81" s="68">
        <f t="shared" si="140"/>
        <v>0</v>
      </c>
      <c r="BI81" s="68"/>
      <c r="BJ81" s="91"/>
      <c r="BK81" s="91"/>
      <c r="BL81" s="68">
        <f t="shared" si="141"/>
        <v>0</v>
      </c>
      <c r="BM81" s="68"/>
      <c r="BN81" s="91"/>
      <c r="BO81" s="91"/>
      <c r="BP81" s="68">
        <f t="shared" si="142"/>
        <v>0</v>
      </c>
      <c r="BQ81" s="68"/>
      <c r="BR81" s="91"/>
      <c r="BS81" s="91"/>
      <c r="BT81" s="68">
        <f t="shared" si="143"/>
        <v>0</v>
      </c>
      <c r="BU81" s="68"/>
      <c r="BV81" s="91"/>
      <c r="BW81" s="91"/>
      <c r="BX81" s="68">
        <f t="shared" si="144"/>
        <v>0</v>
      </c>
      <c r="BY81" s="68"/>
      <c r="BZ81" s="91"/>
      <c r="CA81" s="91"/>
      <c r="CB81" s="68">
        <f t="shared" si="145"/>
        <v>0</v>
      </c>
      <c r="CC81" s="68"/>
      <c r="CD81" s="91"/>
      <c r="CE81" s="91"/>
      <c r="CF81" s="68">
        <f t="shared" si="146"/>
        <v>0</v>
      </c>
      <c r="CG81" s="68"/>
      <c r="CH81" s="91"/>
      <c r="CI81" s="91"/>
      <c r="CJ81" s="68">
        <f t="shared" si="147"/>
        <v>0</v>
      </c>
      <c r="CK81" s="68"/>
      <c r="CL81" s="91"/>
      <c r="CM81" s="91"/>
      <c r="CN81" s="68">
        <f t="shared" si="148"/>
        <v>0</v>
      </c>
      <c r="CO81" s="68"/>
      <c r="CP81" s="91"/>
      <c r="CQ81" s="91"/>
      <c r="CR81" s="68">
        <f t="shared" si="149"/>
        <v>0</v>
      </c>
      <c r="CS81" s="68"/>
      <c r="CT81" s="91"/>
      <c r="CU81" s="91"/>
      <c r="CV81" s="68">
        <f t="shared" si="150"/>
        <v>0</v>
      </c>
      <c r="CW81" s="68"/>
    </row>
    <row r="82" spans="1:101" x14ac:dyDescent="0.5">
      <c r="A82" s="67">
        <v>77</v>
      </c>
      <c r="B82" s="81" t="s">
        <v>128</v>
      </c>
      <c r="C82" s="67"/>
      <c r="D82" s="68">
        <f>+'กระดาษทำการ 30 เม.ย.58'!BP78</f>
        <v>0</v>
      </c>
      <c r="E82" s="68">
        <f>+'กระดาษทำการ 30 เม.ย.58'!BQ78</f>
        <v>0</v>
      </c>
      <c r="F82" s="91"/>
      <c r="G82" s="91"/>
      <c r="H82" s="68">
        <f t="shared" si="151"/>
        <v>0</v>
      </c>
      <c r="I82" s="68"/>
      <c r="J82" s="91"/>
      <c r="K82" s="91"/>
      <c r="L82" s="68">
        <f t="shared" si="152"/>
        <v>0</v>
      </c>
      <c r="M82" s="68"/>
      <c r="N82" s="91"/>
      <c r="O82" s="91"/>
      <c r="P82" s="68">
        <f t="shared" si="153"/>
        <v>0</v>
      </c>
      <c r="Q82" s="68"/>
      <c r="R82" s="91"/>
      <c r="S82" s="91"/>
      <c r="T82" s="68">
        <f t="shared" si="154"/>
        <v>0</v>
      </c>
      <c r="U82" s="68"/>
      <c r="V82" s="91"/>
      <c r="W82" s="91"/>
      <c r="X82" s="68">
        <f t="shared" si="155"/>
        <v>0</v>
      </c>
      <c r="Y82" s="68"/>
      <c r="Z82" s="91"/>
      <c r="AA82" s="91"/>
      <c r="AB82" s="68">
        <f t="shared" si="156"/>
        <v>0</v>
      </c>
      <c r="AC82" s="68"/>
      <c r="AD82" s="91"/>
      <c r="AE82" s="91"/>
      <c r="AF82" s="68">
        <f t="shared" si="157"/>
        <v>0</v>
      </c>
      <c r="AG82" s="68"/>
      <c r="AH82" s="91"/>
      <c r="AI82" s="91"/>
      <c r="AJ82" s="68">
        <f t="shared" si="134"/>
        <v>0</v>
      </c>
      <c r="AK82" s="68"/>
      <c r="AL82" s="91"/>
      <c r="AM82" s="91"/>
      <c r="AN82" s="68">
        <f t="shared" si="135"/>
        <v>0</v>
      </c>
      <c r="AO82" s="68"/>
      <c r="AP82" s="91"/>
      <c r="AQ82" s="91"/>
      <c r="AR82" s="68">
        <f t="shared" si="136"/>
        <v>0</v>
      </c>
      <c r="AS82" s="68">
        <f t="shared" si="137"/>
        <v>0</v>
      </c>
      <c r="AT82" s="91"/>
      <c r="AU82" s="91"/>
      <c r="AV82" s="68">
        <f t="shared" si="138"/>
        <v>0</v>
      </c>
      <c r="AW82" s="68"/>
      <c r="AX82" s="91"/>
      <c r="AY82" s="91"/>
      <c r="AZ82" s="152"/>
      <c r="BA82" s="152"/>
      <c r="BB82" s="91"/>
      <c r="BC82" s="91"/>
      <c r="BD82" s="68">
        <f t="shared" si="139"/>
        <v>0</v>
      </c>
      <c r="BE82" s="68"/>
      <c r="BF82" s="91"/>
      <c r="BG82" s="91"/>
      <c r="BH82" s="68">
        <f t="shared" si="140"/>
        <v>0</v>
      </c>
      <c r="BI82" s="68"/>
      <c r="BJ82" s="91"/>
      <c r="BK82" s="91"/>
      <c r="BL82" s="68">
        <f t="shared" si="141"/>
        <v>0</v>
      </c>
      <c r="BM82" s="68"/>
      <c r="BN82" s="91"/>
      <c r="BO82" s="91"/>
      <c r="BP82" s="68">
        <f t="shared" si="142"/>
        <v>0</v>
      </c>
      <c r="BQ82" s="68"/>
      <c r="BR82" s="91"/>
      <c r="BS82" s="91"/>
      <c r="BT82" s="68">
        <f t="shared" si="143"/>
        <v>0</v>
      </c>
      <c r="BU82" s="68"/>
      <c r="BV82" s="91"/>
      <c r="BW82" s="91"/>
      <c r="BX82" s="68">
        <f t="shared" si="144"/>
        <v>0</v>
      </c>
      <c r="BY82" s="68"/>
      <c r="BZ82" s="91"/>
      <c r="CA82" s="91"/>
      <c r="CB82" s="68">
        <f t="shared" si="145"/>
        <v>0</v>
      </c>
      <c r="CC82" s="68"/>
      <c r="CD82" s="91"/>
      <c r="CE82" s="91"/>
      <c r="CF82" s="68">
        <f t="shared" si="146"/>
        <v>0</v>
      </c>
      <c r="CG82" s="68"/>
      <c r="CH82" s="91"/>
      <c r="CI82" s="91"/>
      <c r="CJ82" s="68">
        <f t="shared" si="147"/>
        <v>0</v>
      </c>
      <c r="CK82" s="68"/>
      <c r="CL82" s="91"/>
      <c r="CM82" s="91"/>
      <c r="CN82" s="68">
        <f t="shared" si="148"/>
        <v>0</v>
      </c>
      <c r="CO82" s="68"/>
      <c r="CP82" s="91"/>
      <c r="CQ82" s="91"/>
      <c r="CR82" s="68">
        <f t="shared" si="149"/>
        <v>0</v>
      </c>
      <c r="CS82" s="68"/>
      <c r="CT82" s="91"/>
      <c r="CU82" s="91"/>
      <c r="CV82" s="68">
        <f t="shared" si="150"/>
        <v>0</v>
      </c>
      <c r="CW82" s="68"/>
    </row>
    <row r="83" spans="1:101" x14ac:dyDescent="0.5">
      <c r="A83" s="67">
        <v>78</v>
      </c>
      <c r="B83" s="81" t="s">
        <v>129</v>
      </c>
      <c r="C83" s="67"/>
      <c r="D83" s="68">
        <f>+'กระดาษทำการ 30 เม.ย.58'!BP79</f>
        <v>0</v>
      </c>
      <c r="E83" s="68">
        <f>+'กระดาษทำการ 30 เม.ย.58'!BQ79</f>
        <v>0</v>
      </c>
      <c r="F83" s="91"/>
      <c r="G83" s="91"/>
      <c r="H83" s="68">
        <f t="shared" si="151"/>
        <v>0</v>
      </c>
      <c r="I83" s="68"/>
      <c r="J83" s="91"/>
      <c r="K83" s="91"/>
      <c r="L83" s="68">
        <f t="shared" si="152"/>
        <v>0</v>
      </c>
      <c r="M83" s="68"/>
      <c r="N83" s="91"/>
      <c r="O83" s="91"/>
      <c r="P83" s="68">
        <f t="shared" si="153"/>
        <v>0</v>
      </c>
      <c r="Q83" s="68"/>
      <c r="R83" s="91"/>
      <c r="S83" s="91"/>
      <c r="T83" s="68">
        <f t="shared" si="154"/>
        <v>0</v>
      </c>
      <c r="U83" s="68"/>
      <c r="V83" s="91"/>
      <c r="W83" s="91"/>
      <c r="X83" s="68">
        <f t="shared" si="155"/>
        <v>0</v>
      </c>
      <c r="Y83" s="68"/>
      <c r="Z83" s="91"/>
      <c r="AA83" s="91"/>
      <c r="AB83" s="68">
        <f t="shared" si="156"/>
        <v>0</v>
      </c>
      <c r="AC83" s="68"/>
      <c r="AD83" s="91"/>
      <c r="AE83" s="91"/>
      <c r="AF83" s="68">
        <f t="shared" si="157"/>
        <v>0</v>
      </c>
      <c r="AG83" s="68"/>
      <c r="AH83" s="91"/>
      <c r="AI83" s="91"/>
      <c r="AJ83" s="68">
        <f t="shared" si="134"/>
        <v>0</v>
      </c>
      <c r="AK83" s="68"/>
      <c r="AL83" s="91"/>
      <c r="AM83" s="91"/>
      <c r="AN83" s="68">
        <f t="shared" si="135"/>
        <v>0</v>
      </c>
      <c r="AO83" s="68"/>
      <c r="AP83" s="91"/>
      <c r="AQ83" s="91"/>
      <c r="AR83" s="68">
        <f t="shared" si="136"/>
        <v>0</v>
      </c>
      <c r="AS83" s="68">
        <f t="shared" si="137"/>
        <v>0</v>
      </c>
      <c r="AT83" s="91"/>
      <c r="AU83" s="91"/>
      <c r="AV83" s="68">
        <f t="shared" si="138"/>
        <v>0</v>
      </c>
      <c r="AW83" s="68"/>
      <c r="AX83" s="91"/>
      <c r="AY83" s="91"/>
      <c r="AZ83" s="152"/>
      <c r="BA83" s="152"/>
      <c r="BB83" s="91"/>
      <c r="BC83" s="91"/>
      <c r="BD83" s="68">
        <f t="shared" si="139"/>
        <v>0</v>
      </c>
      <c r="BE83" s="68"/>
      <c r="BF83" s="91"/>
      <c r="BG83" s="91"/>
      <c r="BH83" s="68">
        <f t="shared" si="140"/>
        <v>0</v>
      </c>
      <c r="BI83" s="68"/>
      <c r="BJ83" s="91"/>
      <c r="BK83" s="91"/>
      <c r="BL83" s="68">
        <f t="shared" si="141"/>
        <v>0</v>
      </c>
      <c r="BM83" s="68"/>
      <c r="BN83" s="91"/>
      <c r="BO83" s="91"/>
      <c r="BP83" s="68">
        <f t="shared" si="142"/>
        <v>0</v>
      </c>
      <c r="BQ83" s="68"/>
      <c r="BR83" s="91"/>
      <c r="BS83" s="91"/>
      <c r="BT83" s="68">
        <f t="shared" si="143"/>
        <v>0</v>
      </c>
      <c r="BU83" s="68"/>
      <c r="BV83" s="91"/>
      <c r="BW83" s="91"/>
      <c r="BX83" s="68">
        <f t="shared" si="144"/>
        <v>0</v>
      </c>
      <c r="BY83" s="68"/>
      <c r="BZ83" s="91"/>
      <c r="CA83" s="91"/>
      <c r="CB83" s="68">
        <f t="shared" si="145"/>
        <v>0</v>
      </c>
      <c r="CC83" s="68"/>
      <c r="CD83" s="91"/>
      <c r="CE83" s="91"/>
      <c r="CF83" s="68">
        <f t="shared" si="146"/>
        <v>0</v>
      </c>
      <c r="CG83" s="68"/>
      <c r="CH83" s="91"/>
      <c r="CI83" s="91"/>
      <c r="CJ83" s="68">
        <f t="shared" si="147"/>
        <v>0</v>
      </c>
      <c r="CK83" s="68"/>
      <c r="CL83" s="91"/>
      <c r="CM83" s="91"/>
      <c r="CN83" s="68">
        <f t="shared" si="148"/>
        <v>0</v>
      </c>
      <c r="CO83" s="68"/>
      <c r="CP83" s="91"/>
      <c r="CQ83" s="91"/>
      <c r="CR83" s="68">
        <f t="shared" si="149"/>
        <v>0</v>
      </c>
      <c r="CS83" s="68"/>
      <c r="CT83" s="91"/>
      <c r="CU83" s="91"/>
      <c r="CV83" s="68">
        <f t="shared" si="150"/>
        <v>0</v>
      </c>
      <c r="CW83" s="68"/>
    </row>
    <row r="84" spans="1:101" x14ac:dyDescent="0.5">
      <c r="A84" s="67">
        <v>79</v>
      </c>
      <c r="B84" s="81" t="s">
        <v>130</v>
      </c>
      <c r="C84" s="67"/>
      <c r="D84" s="68">
        <f>+'กระดาษทำการ 30 เม.ย.58'!BP80</f>
        <v>0</v>
      </c>
      <c r="E84" s="68">
        <f>+'กระดาษทำการ 30 เม.ย.58'!BQ80</f>
        <v>0</v>
      </c>
      <c r="F84" s="91"/>
      <c r="G84" s="91"/>
      <c r="H84" s="68">
        <f t="shared" si="151"/>
        <v>0</v>
      </c>
      <c r="I84" s="68"/>
      <c r="J84" s="91"/>
      <c r="K84" s="91"/>
      <c r="L84" s="68">
        <f t="shared" si="152"/>
        <v>0</v>
      </c>
      <c r="M84" s="68"/>
      <c r="N84" s="91"/>
      <c r="O84" s="91"/>
      <c r="P84" s="68">
        <f t="shared" si="153"/>
        <v>0</v>
      </c>
      <c r="Q84" s="68"/>
      <c r="R84" s="91"/>
      <c r="S84" s="91"/>
      <c r="T84" s="68">
        <f t="shared" si="154"/>
        <v>0</v>
      </c>
      <c r="U84" s="68"/>
      <c r="V84" s="91"/>
      <c r="W84" s="91"/>
      <c r="X84" s="68">
        <f t="shared" si="155"/>
        <v>0</v>
      </c>
      <c r="Y84" s="68"/>
      <c r="Z84" s="91"/>
      <c r="AA84" s="91"/>
      <c r="AB84" s="68">
        <f t="shared" si="156"/>
        <v>0</v>
      </c>
      <c r="AC84" s="68"/>
      <c r="AD84" s="91"/>
      <c r="AE84" s="91"/>
      <c r="AF84" s="68">
        <f t="shared" si="157"/>
        <v>0</v>
      </c>
      <c r="AG84" s="68"/>
      <c r="AH84" s="91"/>
      <c r="AI84" s="91"/>
      <c r="AJ84" s="68">
        <f t="shared" si="134"/>
        <v>0</v>
      </c>
      <c r="AK84" s="68"/>
      <c r="AL84" s="91"/>
      <c r="AM84" s="91"/>
      <c r="AN84" s="68">
        <f t="shared" si="135"/>
        <v>0</v>
      </c>
      <c r="AO84" s="68"/>
      <c r="AP84" s="91"/>
      <c r="AQ84" s="91"/>
      <c r="AR84" s="68">
        <f t="shared" si="136"/>
        <v>0</v>
      </c>
      <c r="AS84" s="68">
        <f t="shared" si="137"/>
        <v>0</v>
      </c>
      <c r="AT84" s="91"/>
      <c r="AU84" s="91"/>
      <c r="AV84" s="68">
        <f t="shared" si="138"/>
        <v>0</v>
      </c>
      <c r="AW84" s="68"/>
      <c r="AX84" s="91"/>
      <c r="AY84" s="91"/>
      <c r="AZ84" s="152"/>
      <c r="BA84" s="152"/>
      <c r="BB84" s="91"/>
      <c r="BC84" s="91"/>
      <c r="BD84" s="68">
        <f t="shared" si="139"/>
        <v>0</v>
      </c>
      <c r="BE84" s="68"/>
      <c r="BF84" s="91"/>
      <c r="BG84" s="91"/>
      <c r="BH84" s="68">
        <f t="shared" si="140"/>
        <v>0</v>
      </c>
      <c r="BI84" s="68"/>
      <c r="BJ84" s="91"/>
      <c r="BK84" s="91"/>
      <c r="BL84" s="68">
        <f t="shared" si="141"/>
        <v>0</v>
      </c>
      <c r="BM84" s="68"/>
      <c r="BN84" s="91"/>
      <c r="BO84" s="91"/>
      <c r="BP84" s="68">
        <f t="shared" si="142"/>
        <v>0</v>
      </c>
      <c r="BQ84" s="68"/>
      <c r="BR84" s="91"/>
      <c r="BS84" s="91"/>
      <c r="BT84" s="68">
        <f t="shared" si="143"/>
        <v>0</v>
      </c>
      <c r="BU84" s="68"/>
      <c r="BV84" s="91"/>
      <c r="BW84" s="91"/>
      <c r="BX84" s="68">
        <f t="shared" si="144"/>
        <v>0</v>
      </c>
      <c r="BY84" s="68"/>
      <c r="BZ84" s="91"/>
      <c r="CA84" s="91"/>
      <c r="CB84" s="68">
        <f t="shared" si="145"/>
        <v>0</v>
      </c>
      <c r="CC84" s="68"/>
      <c r="CD84" s="91"/>
      <c r="CE84" s="91"/>
      <c r="CF84" s="68">
        <f t="shared" si="146"/>
        <v>0</v>
      </c>
      <c r="CG84" s="68"/>
      <c r="CH84" s="91"/>
      <c r="CI84" s="91"/>
      <c r="CJ84" s="68">
        <f t="shared" si="147"/>
        <v>0</v>
      </c>
      <c r="CK84" s="68"/>
      <c r="CL84" s="91"/>
      <c r="CM84" s="91"/>
      <c r="CN84" s="68">
        <f t="shared" si="148"/>
        <v>0</v>
      </c>
      <c r="CO84" s="68"/>
      <c r="CP84" s="91"/>
      <c r="CQ84" s="91"/>
      <c r="CR84" s="68">
        <f t="shared" si="149"/>
        <v>0</v>
      </c>
      <c r="CS84" s="68"/>
      <c r="CT84" s="91"/>
      <c r="CU84" s="91"/>
      <c r="CV84" s="68">
        <f t="shared" si="150"/>
        <v>0</v>
      </c>
      <c r="CW84" s="68"/>
    </row>
    <row r="85" spans="1:101" x14ac:dyDescent="0.5">
      <c r="A85" s="67">
        <v>80</v>
      </c>
      <c r="B85" s="81" t="s">
        <v>131</v>
      </c>
      <c r="C85" s="67"/>
      <c r="D85" s="68">
        <f>+'กระดาษทำการ 30 เม.ย.58'!BP81</f>
        <v>0</v>
      </c>
      <c r="E85" s="68">
        <f>+'กระดาษทำการ 30 เม.ย.58'!BQ81</f>
        <v>0</v>
      </c>
      <c r="F85" s="91"/>
      <c r="G85" s="91"/>
      <c r="H85" s="68">
        <f t="shared" si="151"/>
        <v>0</v>
      </c>
      <c r="I85" s="68"/>
      <c r="J85" s="91"/>
      <c r="K85" s="91"/>
      <c r="L85" s="68">
        <f t="shared" si="152"/>
        <v>0</v>
      </c>
      <c r="M85" s="68"/>
      <c r="N85" s="91"/>
      <c r="O85" s="91"/>
      <c r="P85" s="68">
        <f t="shared" si="153"/>
        <v>0</v>
      </c>
      <c r="Q85" s="68"/>
      <c r="R85" s="91"/>
      <c r="S85" s="91"/>
      <c r="T85" s="68">
        <f t="shared" si="154"/>
        <v>0</v>
      </c>
      <c r="U85" s="68"/>
      <c r="V85" s="91"/>
      <c r="W85" s="91"/>
      <c r="X85" s="68">
        <f t="shared" si="155"/>
        <v>0</v>
      </c>
      <c r="Y85" s="68"/>
      <c r="Z85" s="91"/>
      <c r="AA85" s="91"/>
      <c r="AB85" s="68">
        <f t="shared" si="156"/>
        <v>0</v>
      </c>
      <c r="AC85" s="68"/>
      <c r="AD85" s="91"/>
      <c r="AE85" s="91"/>
      <c r="AF85" s="68">
        <f t="shared" si="157"/>
        <v>0</v>
      </c>
      <c r="AG85" s="68"/>
      <c r="AH85" s="91"/>
      <c r="AI85" s="91"/>
      <c r="AJ85" s="68">
        <f t="shared" si="134"/>
        <v>0</v>
      </c>
      <c r="AK85" s="68"/>
      <c r="AL85" s="91"/>
      <c r="AM85" s="91"/>
      <c r="AN85" s="68">
        <f t="shared" si="135"/>
        <v>0</v>
      </c>
      <c r="AO85" s="68"/>
      <c r="AP85" s="91"/>
      <c r="AQ85" s="91"/>
      <c r="AR85" s="68">
        <f t="shared" si="136"/>
        <v>0</v>
      </c>
      <c r="AS85" s="68">
        <f t="shared" si="137"/>
        <v>0</v>
      </c>
      <c r="AT85" s="91"/>
      <c r="AU85" s="91"/>
      <c r="AV85" s="68">
        <f t="shared" si="138"/>
        <v>0</v>
      </c>
      <c r="AW85" s="68"/>
      <c r="AX85" s="91"/>
      <c r="AY85" s="91"/>
      <c r="AZ85" s="152"/>
      <c r="BA85" s="152"/>
      <c r="BB85" s="91"/>
      <c r="BC85" s="91"/>
      <c r="BD85" s="68">
        <f t="shared" si="139"/>
        <v>0</v>
      </c>
      <c r="BE85" s="68"/>
      <c r="BF85" s="91"/>
      <c r="BG85" s="91"/>
      <c r="BH85" s="68">
        <f t="shared" si="140"/>
        <v>0</v>
      </c>
      <c r="BI85" s="68"/>
      <c r="BJ85" s="91"/>
      <c r="BK85" s="91"/>
      <c r="BL85" s="68">
        <f t="shared" si="141"/>
        <v>0</v>
      </c>
      <c r="BM85" s="68"/>
      <c r="BN85" s="91"/>
      <c r="BO85" s="91"/>
      <c r="BP85" s="68">
        <f t="shared" si="142"/>
        <v>0</v>
      </c>
      <c r="BQ85" s="68"/>
      <c r="BR85" s="91"/>
      <c r="BS85" s="91"/>
      <c r="BT85" s="68">
        <f t="shared" si="143"/>
        <v>0</v>
      </c>
      <c r="BU85" s="68"/>
      <c r="BV85" s="91"/>
      <c r="BW85" s="91"/>
      <c r="BX85" s="68">
        <f t="shared" si="144"/>
        <v>0</v>
      </c>
      <c r="BY85" s="68"/>
      <c r="BZ85" s="91"/>
      <c r="CA85" s="91"/>
      <c r="CB85" s="68">
        <f t="shared" si="145"/>
        <v>0</v>
      </c>
      <c r="CC85" s="68"/>
      <c r="CD85" s="91"/>
      <c r="CE85" s="91"/>
      <c r="CF85" s="68">
        <f t="shared" si="146"/>
        <v>0</v>
      </c>
      <c r="CG85" s="68"/>
      <c r="CH85" s="91"/>
      <c r="CI85" s="91"/>
      <c r="CJ85" s="68">
        <f t="shared" si="147"/>
        <v>0</v>
      </c>
      <c r="CK85" s="68"/>
      <c r="CL85" s="91"/>
      <c r="CM85" s="91"/>
      <c r="CN85" s="68">
        <f t="shared" si="148"/>
        <v>0</v>
      </c>
      <c r="CO85" s="68"/>
      <c r="CP85" s="91"/>
      <c r="CQ85" s="91"/>
      <c r="CR85" s="68">
        <f t="shared" si="149"/>
        <v>0</v>
      </c>
      <c r="CS85" s="68"/>
      <c r="CT85" s="91"/>
      <c r="CU85" s="91"/>
      <c r="CV85" s="68">
        <f t="shared" si="150"/>
        <v>0</v>
      </c>
      <c r="CW85" s="68"/>
    </row>
    <row r="86" spans="1:101" ht="24" x14ac:dyDescent="0.55000000000000004">
      <c r="A86" s="67">
        <v>81</v>
      </c>
      <c r="B86" s="81" t="s">
        <v>25</v>
      </c>
      <c r="C86" s="67">
        <v>339</v>
      </c>
      <c r="D86" s="68">
        <f>+'กระดาษทำการ 30 เม.ย.58'!BP82</f>
        <v>0</v>
      </c>
      <c r="E86" s="68">
        <f>+'กระดาษทำการ 30 เม.ย.58'!BQ82</f>
        <v>0</v>
      </c>
      <c r="F86" s="91">
        <v>7001.5</v>
      </c>
      <c r="G86" s="91"/>
      <c r="H86" s="68">
        <f t="shared" si="151"/>
        <v>7001.5</v>
      </c>
      <c r="I86" s="68"/>
      <c r="J86" s="91"/>
      <c r="K86" s="91"/>
      <c r="L86" s="68">
        <f t="shared" si="152"/>
        <v>7001.5</v>
      </c>
      <c r="M86" s="68"/>
      <c r="N86" s="119">
        <f>7001.5+7001.5</f>
        <v>14003</v>
      </c>
      <c r="O86" s="119"/>
      <c r="P86" s="68">
        <f t="shared" si="153"/>
        <v>21004.5</v>
      </c>
      <c r="Q86" s="68"/>
      <c r="R86" s="92">
        <v>7001.5</v>
      </c>
      <c r="S86" s="92"/>
      <c r="T86" s="68">
        <f t="shared" si="154"/>
        <v>28006</v>
      </c>
      <c r="U86" s="68"/>
      <c r="V86" s="92">
        <v>7001.5</v>
      </c>
      <c r="W86" s="92"/>
      <c r="X86" s="68">
        <f t="shared" si="155"/>
        <v>35007.5</v>
      </c>
      <c r="Y86" s="68"/>
      <c r="Z86" s="92">
        <v>7001.5</v>
      </c>
      <c r="AA86" s="92"/>
      <c r="AB86" s="68">
        <f t="shared" si="156"/>
        <v>42009</v>
      </c>
      <c r="AC86" s="68"/>
      <c r="AD86" s="91"/>
      <c r="AE86" s="91"/>
      <c r="AF86" s="68">
        <f t="shared" si="157"/>
        <v>42009</v>
      </c>
      <c r="AG86" s="68"/>
      <c r="AH86" s="91"/>
      <c r="AI86" s="91"/>
      <c r="AJ86" s="68">
        <f t="shared" si="134"/>
        <v>42009</v>
      </c>
      <c r="AK86" s="68"/>
      <c r="AL86" s="91"/>
      <c r="AM86" s="91"/>
      <c r="AN86" s="68">
        <f t="shared" si="135"/>
        <v>42009</v>
      </c>
      <c r="AO86" s="68"/>
      <c r="AP86" s="91"/>
      <c r="AQ86" s="91"/>
      <c r="AR86" s="68">
        <f t="shared" si="136"/>
        <v>42009</v>
      </c>
      <c r="AS86" s="68">
        <f t="shared" si="137"/>
        <v>0</v>
      </c>
      <c r="AT86" s="92">
        <v>11280</v>
      </c>
      <c r="AU86" s="91"/>
      <c r="AV86" s="68">
        <f t="shared" si="138"/>
        <v>53289</v>
      </c>
      <c r="AW86" s="68"/>
      <c r="AX86" s="91">
        <v>11280</v>
      </c>
      <c r="AY86" s="91"/>
      <c r="AZ86" s="152"/>
      <c r="BA86" s="152"/>
      <c r="BB86" s="91">
        <v>11280</v>
      </c>
      <c r="BC86" s="91"/>
      <c r="BD86" s="68">
        <f t="shared" si="139"/>
        <v>11280</v>
      </c>
      <c r="BE86" s="68"/>
      <c r="BF86" s="91"/>
      <c r="BG86" s="91"/>
      <c r="BH86" s="68">
        <f t="shared" si="140"/>
        <v>11280</v>
      </c>
      <c r="BI86" s="68"/>
      <c r="BJ86" s="91">
        <v>22560</v>
      </c>
      <c r="BK86" s="91"/>
      <c r="BL86" s="68">
        <f t="shared" si="141"/>
        <v>33840</v>
      </c>
      <c r="BM86" s="68"/>
      <c r="BN86" s="91">
        <v>11280</v>
      </c>
      <c r="BO86" s="91"/>
      <c r="BP86" s="68">
        <f t="shared" si="142"/>
        <v>45120</v>
      </c>
      <c r="BQ86" s="68"/>
      <c r="BR86" s="91">
        <v>11280</v>
      </c>
      <c r="BS86" s="91"/>
      <c r="BT86" s="68">
        <f t="shared" si="143"/>
        <v>56400</v>
      </c>
      <c r="BU86" s="68"/>
      <c r="BV86" s="91">
        <v>11280</v>
      </c>
      <c r="BW86" s="91"/>
      <c r="BX86" s="68">
        <f t="shared" si="144"/>
        <v>67680</v>
      </c>
      <c r="BY86" s="68"/>
      <c r="BZ86" s="91">
        <v>11280</v>
      </c>
      <c r="CA86" s="91"/>
      <c r="CB86" s="68">
        <f t="shared" si="145"/>
        <v>78960</v>
      </c>
      <c r="CC86" s="68"/>
      <c r="CD86" s="91">
        <v>11280</v>
      </c>
      <c r="CE86" s="91"/>
      <c r="CF86" s="68">
        <f t="shared" si="146"/>
        <v>90240</v>
      </c>
      <c r="CG86" s="68"/>
      <c r="CH86" s="91">
        <v>11280</v>
      </c>
      <c r="CI86" s="91"/>
      <c r="CJ86" s="68">
        <f t="shared" si="147"/>
        <v>101520</v>
      </c>
      <c r="CK86" s="68"/>
      <c r="CL86" s="91">
        <v>11280</v>
      </c>
      <c r="CM86" s="91"/>
      <c r="CN86" s="68">
        <f t="shared" si="148"/>
        <v>112800</v>
      </c>
      <c r="CO86" s="68"/>
      <c r="CP86" s="91">
        <v>11280</v>
      </c>
      <c r="CQ86" s="91"/>
      <c r="CR86" s="68">
        <f t="shared" si="149"/>
        <v>124080</v>
      </c>
      <c r="CS86" s="68"/>
      <c r="CT86" s="91">
        <v>11280</v>
      </c>
      <c r="CU86" s="91"/>
      <c r="CV86" s="68">
        <f t="shared" si="150"/>
        <v>135360</v>
      </c>
      <c r="CW86" s="68"/>
    </row>
    <row r="87" spans="1:101" x14ac:dyDescent="0.5">
      <c r="A87" s="67">
        <v>82</v>
      </c>
      <c r="B87" s="81" t="s">
        <v>86</v>
      </c>
      <c r="C87" s="67">
        <v>285</v>
      </c>
      <c r="D87" s="68">
        <f>+'กระดาษทำการ 30 เม.ย.58'!BP83</f>
        <v>0</v>
      </c>
      <c r="E87" s="68">
        <f>+'กระดาษทำการ 30 เม.ย.58'!BQ83</f>
        <v>0</v>
      </c>
      <c r="F87" s="91"/>
      <c r="G87" s="91"/>
      <c r="H87" s="68">
        <f t="shared" si="151"/>
        <v>0</v>
      </c>
      <c r="I87" s="68"/>
      <c r="J87" s="91"/>
      <c r="K87" s="91"/>
      <c r="L87" s="68">
        <f t="shared" si="152"/>
        <v>0</v>
      </c>
      <c r="M87" s="68"/>
      <c r="N87" s="91"/>
      <c r="O87" s="91"/>
      <c r="P87" s="68">
        <f t="shared" si="153"/>
        <v>0</v>
      </c>
      <c r="Q87" s="68"/>
      <c r="R87" s="91"/>
      <c r="S87" s="91"/>
      <c r="T87" s="68">
        <f t="shared" si="154"/>
        <v>0</v>
      </c>
      <c r="U87" s="68"/>
      <c r="V87" s="91"/>
      <c r="W87" s="91"/>
      <c r="X87" s="68">
        <f t="shared" si="155"/>
        <v>0</v>
      </c>
      <c r="Y87" s="68"/>
      <c r="Z87" s="91"/>
      <c r="AA87" s="91"/>
      <c r="AB87" s="68">
        <f t="shared" si="156"/>
        <v>0</v>
      </c>
      <c r="AC87" s="68"/>
      <c r="AD87" s="91"/>
      <c r="AE87" s="91"/>
      <c r="AF87" s="68">
        <f t="shared" si="157"/>
        <v>0</v>
      </c>
      <c r="AG87" s="68"/>
      <c r="AH87" s="91"/>
      <c r="AI87" s="91"/>
      <c r="AJ87" s="68">
        <f t="shared" si="134"/>
        <v>0</v>
      </c>
      <c r="AK87" s="68"/>
      <c r="AL87" s="91"/>
      <c r="AM87" s="91"/>
      <c r="AN87" s="68">
        <f t="shared" si="135"/>
        <v>0</v>
      </c>
      <c r="AO87" s="68"/>
      <c r="AP87" s="91"/>
      <c r="AQ87" s="91"/>
      <c r="AR87" s="68">
        <f t="shared" si="136"/>
        <v>0</v>
      </c>
      <c r="AS87" s="68">
        <f t="shared" si="137"/>
        <v>0</v>
      </c>
      <c r="AT87" s="91"/>
      <c r="AU87" s="91"/>
      <c r="AV87" s="68">
        <f t="shared" si="138"/>
        <v>0</v>
      </c>
      <c r="AW87" s="68"/>
      <c r="AX87" s="91"/>
      <c r="AY87" s="91"/>
      <c r="AZ87" s="152"/>
      <c r="BA87" s="152"/>
      <c r="BB87" s="91"/>
      <c r="BC87" s="91"/>
      <c r="BD87" s="68">
        <f t="shared" si="139"/>
        <v>0</v>
      </c>
      <c r="BE87" s="68"/>
      <c r="BF87" s="91"/>
      <c r="BG87" s="91"/>
      <c r="BH87" s="68">
        <f t="shared" si="140"/>
        <v>0</v>
      </c>
      <c r="BI87" s="68"/>
      <c r="BJ87" s="91"/>
      <c r="BK87" s="91"/>
      <c r="BL87" s="68">
        <f t="shared" si="141"/>
        <v>0</v>
      </c>
      <c r="BM87" s="68"/>
      <c r="BN87" s="91"/>
      <c r="BO87" s="91"/>
      <c r="BP87" s="68">
        <f t="shared" si="142"/>
        <v>0</v>
      </c>
      <c r="BQ87" s="68"/>
      <c r="BR87" s="91"/>
      <c r="BS87" s="91"/>
      <c r="BT87" s="68">
        <f t="shared" si="143"/>
        <v>0</v>
      </c>
      <c r="BU87" s="68"/>
      <c r="BV87" s="91"/>
      <c r="BW87" s="91"/>
      <c r="BX87" s="68">
        <f t="shared" si="144"/>
        <v>0</v>
      </c>
      <c r="BY87" s="68"/>
      <c r="BZ87" s="91"/>
      <c r="CA87" s="91"/>
      <c r="CB87" s="68">
        <f t="shared" si="145"/>
        <v>0</v>
      </c>
      <c r="CC87" s="68"/>
      <c r="CD87" s="91"/>
      <c r="CE87" s="91"/>
      <c r="CF87" s="68">
        <f t="shared" si="146"/>
        <v>0</v>
      </c>
      <c r="CG87" s="68"/>
      <c r="CH87" s="91"/>
      <c r="CI87" s="91"/>
      <c r="CJ87" s="68">
        <f t="shared" si="147"/>
        <v>0</v>
      </c>
      <c r="CK87" s="68"/>
      <c r="CL87" s="91"/>
      <c r="CM87" s="91"/>
      <c r="CN87" s="68">
        <f t="shared" si="148"/>
        <v>0</v>
      </c>
      <c r="CO87" s="68"/>
      <c r="CP87" s="91"/>
      <c r="CQ87" s="91"/>
      <c r="CR87" s="68">
        <f t="shared" si="149"/>
        <v>0</v>
      </c>
      <c r="CS87" s="68"/>
      <c r="CT87" s="91"/>
      <c r="CU87" s="91"/>
      <c r="CV87" s="68">
        <f t="shared" si="150"/>
        <v>0</v>
      </c>
      <c r="CW87" s="68"/>
    </row>
    <row r="88" spans="1:101" x14ac:dyDescent="0.5">
      <c r="A88" s="67">
        <v>83</v>
      </c>
      <c r="B88" s="81" t="s">
        <v>204</v>
      </c>
      <c r="C88" s="67">
        <v>215</v>
      </c>
      <c r="D88" s="68">
        <f>+'กระดาษทำการ 30 เม.ย.58'!BP84</f>
        <v>0</v>
      </c>
      <c r="E88" s="68">
        <f>+'กระดาษทำการ 30 เม.ย.58'!BQ84</f>
        <v>0</v>
      </c>
      <c r="F88" s="91"/>
      <c r="G88" s="91"/>
      <c r="H88" s="68">
        <f t="shared" si="151"/>
        <v>0</v>
      </c>
      <c r="I88" s="68"/>
      <c r="J88" s="91"/>
      <c r="K88" s="91"/>
      <c r="L88" s="68">
        <f t="shared" si="152"/>
        <v>0</v>
      </c>
      <c r="M88" s="68"/>
      <c r="N88" s="119">
        <v>200</v>
      </c>
      <c r="O88" s="119"/>
      <c r="P88" s="68">
        <f t="shared" si="153"/>
        <v>200</v>
      </c>
      <c r="Q88" s="68"/>
      <c r="R88" s="91"/>
      <c r="S88" s="91"/>
      <c r="T88" s="68">
        <f t="shared" si="154"/>
        <v>200</v>
      </c>
      <c r="U88" s="68"/>
      <c r="V88" s="91"/>
      <c r="W88" s="91"/>
      <c r="X88" s="68">
        <f t="shared" si="155"/>
        <v>200</v>
      </c>
      <c r="Y88" s="68"/>
      <c r="Z88" s="91"/>
      <c r="AA88" s="91"/>
      <c r="AB88" s="68">
        <f t="shared" si="156"/>
        <v>200</v>
      </c>
      <c r="AC88" s="68"/>
      <c r="AD88" s="91"/>
      <c r="AE88" s="91"/>
      <c r="AF88" s="68">
        <f t="shared" si="157"/>
        <v>200</v>
      </c>
      <c r="AG88" s="68"/>
      <c r="AH88" s="91"/>
      <c r="AI88" s="91"/>
      <c r="AJ88" s="68">
        <f t="shared" si="134"/>
        <v>200</v>
      </c>
      <c r="AK88" s="68"/>
      <c r="AL88" s="91"/>
      <c r="AM88" s="91"/>
      <c r="AN88" s="68">
        <f t="shared" si="135"/>
        <v>200</v>
      </c>
      <c r="AO88" s="68"/>
      <c r="AP88" s="91"/>
      <c r="AQ88" s="91"/>
      <c r="AR88" s="68">
        <f t="shared" si="136"/>
        <v>200</v>
      </c>
      <c r="AS88" s="68">
        <f t="shared" si="137"/>
        <v>0</v>
      </c>
      <c r="AT88" s="91"/>
      <c r="AU88" s="91"/>
      <c r="AV88" s="68">
        <f t="shared" si="138"/>
        <v>200</v>
      </c>
      <c r="AW88" s="68"/>
      <c r="AX88" s="91"/>
      <c r="AY88" s="91"/>
      <c r="AZ88" s="152"/>
      <c r="BA88" s="152"/>
      <c r="BB88" s="91"/>
      <c r="BC88" s="91"/>
      <c r="BD88" s="68">
        <f t="shared" si="139"/>
        <v>0</v>
      </c>
      <c r="BE88" s="68"/>
      <c r="BF88" s="91"/>
      <c r="BG88" s="91"/>
      <c r="BH88" s="68">
        <f t="shared" si="140"/>
        <v>0</v>
      </c>
      <c r="BI88" s="68"/>
      <c r="BJ88" s="91"/>
      <c r="BK88" s="91"/>
      <c r="BL88" s="68">
        <f t="shared" si="141"/>
        <v>0</v>
      </c>
      <c r="BM88" s="68"/>
      <c r="BN88" s="91"/>
      <c r="BO88" s="91"/>
      <c r="BP88" s="68">
        <f t="shared" si="142"/>
        <v>0</v>
      </c>
      <c r="BQ88" s="68"/>
      <c r="BR88" s="91"/>
      <c r="BS88" s="91"/>
      <c r="BT88" s="68">
        <f t="shared" si="143"/>
        <v>0</v>
      </c>
      <c r="BU88" s="68"/>
      <c r="BV88" s="91"/>
      <c r="BW88" s="91"/>
      <c r="BX88" s="68">
        <f t="shared" si="144"/>
        <v>0</v>
      </c>
      <c r="BY88" s="68"/>
      <c r="BZ88" s="91"/>
      <c r="CA88" s="91"/>
      <c r="CB88" s="68">
        <f t="shared" si="145"/>
        <v>0</v>
      </c>
      <c r="CC88" s="68"/>
      <c r="CD88" s="91"/>
      <c r="CE88" s="91"/>
      <c r="CF88" s="68">
        <f t="shared" si="146"/>
        <v>0</v>
      </c>
      <c r="CG88" s="68"/>
      <c r="CH88" s="91"/>
      <c r="CI88" s="91"/>
      <c r="CJ88" s="68">
        <f t="shared" si="147"/>
        <v>0</v>
      </c>
      <c r="CK88" s="68"/>
      <c r="CL88" s="91"/>
      <c r="CM88" s="91"/>
      <c r="CN88" s="68">
        <f t="shared" si="148"/>
        <v>0</v>
      </c>
      <c r="CO88" s="68"/>
      <c r="CP88" s="91">
        <v>500</v>
      </c>
      <c r="CQ88" s="91"/>
      <c r="CR88" s="68">
        <f t="shared" si="149"/>
        <v>500</v>
      </c>
      <c r="CS88" s="68"/>
      <c r="CT88" s="91">
        <v>500</v>
      </c>
      <c r="CU88" s="91"/>
      <c r="CV88" s="68">
        <f t="shared" si="150"/>
        <v>1000</v>
      </c>
      <c r="CW88" s="68"/>
    </row>
    <row r="89" spans="1:101" x14ac:dyDescent="0.5">
      <c r="A89" s="67">
        <v>84</v>
      </c>
      <c r="B89" s="81" t="s">
        <v>87</v>
      </c>
      <c r="C89" s="67">
        <v>321</v>
      </c>
      <c r="D89" s="68">
        <f>+'กระดาษทำการ 30 เม.ย.58'!BP85</f>
        <v>0</v>
      </c>
      <c r="E89" s="68">
        <f>+'กระดาษทำการ 30 เม.ย.58'!BQ85</f>
        <v>0</v>
      </c>
      <c r="F89" s="91"/>
      <c r="G89" s="91"/>
      <c r="H89" s="68">
        <f t="shared" si="151"/>
        <v>0</v>
      </c>
      <c r="I89" s="68"/>
      <c r="J89" s="91"/>
      <c r="K89" s="91"/>
      <c r="L89" s="68">
        <f t="shared" si="152"/>
        <v>0</v>
      </c>
      <c r="M89" s="68"/>
      <c r="N89" s="91"/>
      <c r="O89" s="91"/>
      <c r="P89" s="68">
        <f t="shared" si="153"/>
        <v>0</v>
      </c>
      <c r="Q89" s="68"/>
      <c r="R89" s="91"/>
      <c r="S89" s="91"/>
      <c r="T89" s="68">
        <f t="shared" si="154"/>
        <v>0</v>
      </c>
      <c r="U89" s="68"/>
      <c r="V89" s="91"/>
      <c r="W89" s="91"/>
      <c r="X89" s="68">
        <f t="shared" si="155"/>
        <v>0</v>
      </c>
      <c r="Y89" s="68"/>
      <c r="Z89" s="91"/>
      <c r="AA89" s="91"/>
      <c r="AB89" s="68">
        <f t="shared" si="156"/>
        <v>0</v>
      </c>
      <c r="AC89" s="68"/>
      <c r="AD89" s="91"/>
      <c r="AE89" s="91"/>
      <c r="AF89" s="68">
        <f t="shared" si="157"/>
        <v>0</v>
      </c>
      <c r="AG89" s="68"/>
      <c r="AH89" s="91"/>
      <c r="AI89" s="91"/>
      <c r="AJ89" s="68">
        <f t="shared" si="134"/>
        <v>0</v>
      </c>
      <c r="AK89" s="68"/>
      <c r="AL89" s="91"/>
      <c r="AM89" s="91"/>
      <c r="AN89" s="68">
        <f t="shared" si="135"/>
        <v>0</v>
      </c>
      <c r="AO89" s="68"/>
      <c r="AP89" s="91"/>
      <c r="AQ89" s="91"/>
      <c r="AR89" s="68">
        <f t="shared" si="136"/>
        <v>0</v>
      </c>
      <c r="AS89" s="68">
        <f t="shared" si="137"/>
        <v>0</v>
      </c>
      <c r="AT89" s="91"/>
      <c r="AU89" s="91"/>
      <c r="AV89" s="68">
        <f t="shared" si="138"/>
        <v>0</v>
      </c>
      <c r="AW89" s="68"/>
      <c r="AX89" s="91"/>
      <c r="AY89" s="91"/>
      <c r="AZ89" s="152"/>
      <c r="BA89" s="152"/>
      <c r="BB89" s="91"/>
      <c r="BC89" s="91"/>
      <c r="BD89" s="68">
        <f t="shared" si="139"/>
        <v>0</v>
      </c>
      <c r="BE89" s="68"/>
      <c r="BF89" s="91"/>
      <c r="BG89" s="91"/>
      <c r="BH89" s="68">
        <f t="shared" si="140"/>
        <v>0</v>
      </c>
      <c r="BI89" s="68"/>
      <c r="BJ89" s="91"/>
      <c r="BK89" s="91"/>
      <c r="BL89" s="68">
        <f t="shared" si="141"/>
        <v>0</v>
      </c>
      <c r="BM89" s="68"/>
      <c r="BN89" s="91"/>
      <c r="BO89" s="91"/>
      <c r="BP89" s="68">
        <f t="shared" si="142"/>
        <v>0</v>
      </c>
      <c r="BQ89" s="68"/>
      <c r="BR89" s="91"/>
      <c r="BS89" s="91"/>
      <c r="BT89" s="68">
        <f t="shared" si="143"/>
        <v>0</v>
      </c>
      <c r="BU89" s="68"/>
      <c r="BV89" s="91"/>
      <c r="BW89" s="91"/>
      <c r="BX89" s="68">
        <f t="shared" si="144"/>
        <v>0</v>
      </c>
      <c r="BY89" s="68"/>
      <c r="BZ89" s="91"/>
      <c r="CA89" s="91"/>
      <c r="CB89" s="68">
        <f t="shared" si="145"/>
        <v>0</v>
      </c>
      <c r="CC89" s="68"/>
      <c r="CD89" s="91"/>
      <c r="CE89" s="91"/>
      <c r="CF89" s="68">
        <f t="shared" si="146"/>
        <v>0</v>
      </c>
      <c r="CG89" s="68"/>
      <c r="CH89" s="91"/>
      <c r="CI89" s="91"/>
      <c r="CJ89" s="68">
        <f t="shared" si="147"/>
        <v>0</v>
      </c>
      <c r="CK89" s="68"/>
      <c r="CL89" s="91"/>
      <c r="CM89" s="91"/>
      <c r="CN89" s="68">
        <f t="shared" si="148"/>
        <v>0</v>
      </c>
      <c r="CO89" s="68"/>
      <c r="CP89" s="91"/>
      <c r="CQ89" s="91"/>
      <c r="CR89" s="68">
        <f t="shared" si="149"/>
        <v>0</v>
      </c>
      <c r="CS89" s="68"/>
      <c r="CT89" s="91"/>
      <c r="CU89" s="91"/>
      <c r="CV89" s="68">
        <f t="shared" si="150"/>
        <v>0</v>
      </c>
      <c r="CW89" s="68"/>
    </row>
    <row r="90" spans="1:101" x14ac:dyDescent="0.5">
      <c r="A90" s="67">
        <v>85</v>
      </c>
      <c r="B90" s="81" t="s">
        <v>85</v>
      </c>
      <c r="C90" s="67">
        <v>349</v>
      </c>
      <c r="D90" s="68">
        <f>+'กระดาษทำการ 30 เม.ย.58'!BP86</f>
        <v>0</v>
      </c>
      <c r="E90" s="68">
        <f>+'กระดาษทำการ 30 เม.ย.58'!BQ86</f>
        <v>0</v>
      </c>
      <c r="F90" s="91">
        <v>500</v>
      </c>
      <c r="G90" s="91"/>
      <c r="H90" s="68">
        <f t="shared" si="151"/>
        <v>500</v>
      </c>
      <c r="I90" s="68"/>
      <c r="J90" s="91"/>
      <c r="K90" s="91"/>
      <c r="L90" s="68">
        <f t="shared" si="152"/>
        <v>500</v>
      </c>
      <c r="M90" s="68"/>
      <c r="N90" s="91"/>
      <c r="O90" s="91"/>
      <c r="P90" s="68">
        <f t="shared" si="153"/>
        <v>500</v>
      </c>
      <c r="Q90" s="68"/>
      <c r="R90" s="91"/>
      <c r="S90" s="91"/>
      <c r="T90" s="68">
        <f t="shared" si="154"/>
        <v>500</v>
      </c>
      <c r="U90" s="68"/>
      <c r="V90" s="91"/>
      <c r="W90" s="91"/>
      <c r="X90" s="68">
        <f t="shared" si="155"/>
        <v>500</v>
      </c>
      <c r="Y90" s="68"/>
      <c r="Z90" s="91">
        <v>300</v>
      </c>
      <c r="AA90" s="91"/>
      <c r="AB90" s="68">
        <f t="shared" si="156"/>
        <v>800</v>
      </c>
      <c r="AC90" s="68"/>
      <c r="AD90" s="91"/>
      <c r="AE90" s="91"/>
      <c r="AF90" s="68">
        <f t="shared" si="157"/>
        <v>800</v>
      </c>
      <c r="AG90" s="68"/>
      <c r="AH90" s="91"/>
      <c r="AI90" s="91"/>
      <c r="AJ90" s="68">
        <f t="shared" si="134"/>
        <v>800</v>
      </c>
      <c r="AK90" s="68"/>
      <c r="AL90" s="91"/>
      <c r="AM90" s="91"/>
      <c r="AN90" s="68">
        <f t="shared" si="135"/>
        <v>800</v>
      </c>
      <c r="AO90" s="68"/>
      <c r="AP90" s="91"/>
      <c r="AQ90" s="91"/>
      <c r="AR90" s="68">
        <f t="shared" si="136"/>
        <v>800</v>
      </c>
      <c r="AS90" s="68">
        <f t="shared" si="137"/>
        <v>0</v>
      </c>
      <c r="AT90" s="91"/>
      <c r="AU90" s="91"/>
      <c r="AV90" s="68">
        <f t="shared" si="138"/>
        <v>800</v>
      </c>
      <c r="AW90" s="68"/>
      <c r="AX90" s="91"/>
      <c r="AY90" s="91"/>
      <c r="AZ90" s="152"/>
      <c r="BA90" s="152"/>
      <c r="BB90" s="91"/>
      <c r="BC90" s="91"/>
      <c r="BD90" s="68">
        <f t="shared" si="139"/>
        <v>0</v>
      </c>
      <c r="BE90" s="68"/>
      <c r="BF90" s="91"/>
      <c r="BG90" s="91"/>
      <c r="BH90" s="68">
        <f t="shared" si="140"/>
        <v>0</v>
      </c>
      <c r="BI90" s="68"/>
      <c r="BJ90" s="91"/>
      <c r="BK90" s="91"/>
      <c r="BL90" s="68">
        <f t="shared" si="141"/>
        <v>0</v>
      </c>
      <c r="BM90" s="68"/>
      <c r="BN90" s="91"/>
      <c r="BO90" s="91"/>
      <c r="BP90" s="68">
        <f t="shared" si="142"/>
        <v>0</v>
      </c>
      <c r="BQ90" s="68"/>
      <c r="BR90" s="91">
        <v>300</v>
      </c>
      <c r="BS90" s="91"/>
      <c r="BT90" s="68">
        <f t="shared" si="143"/>
        <v>300</v>
      </c>
      <c r="BU90" s="68"/>
      <c r="BV90" s="91"/>
      <c r="BW90" s="91"/>
      <c r="BX90" s="68">
        <f t="shared" si="144"/>
        <v>300</v>
      </c>
      <c r="BY90" s="68"/>
      <c r="BZ90" s="91"/>
      <c r="CA90" s="91"/>
      <c r="CB90" s="68">
        <f t="shared" si="145"/>
        <v>300</v>
      </c>
      <c r="CC90" s="68"/>
      <c r="CD90" s="91"/>
      <c r="CE90" s="91"/>
      <c r="CF90" s="68">
        <f t="shared" si="146"/>
        <v>300</v>
      </c>
      <c r="CG90" s="68"/>
      <c r="CH90" s="91"/>
      <c r="CI90" s="91"/>
      <c r="CJ90" s="68">
        <f t="shared" si="147"/>
        <v>300</v>
      </c>
      <c r="CK90" s="68"/>
      <c r="CL90" s="91"/>
      <c r="CM90" s="91"/>
      <c r="CN90" s="68">
        <f t="shared" si="148"/>
        <v>300</v>
      </c>
      <c r="CO90" s="68"/>
      <c r="CP90" s="91"/>
      <c r="CQ90" s="91"/>
      <c r="CR90" s="68">
        <f t="shared" si="149"/>
        <v>300</v>
      </c>
      <c r="CS90" s="68"/>
      <c r="CT90" s="91"/>
      <c r="CU90" s="91"/>
      <c r="CV90" s="68">
        <f t="shared" si="150"/>
        <v>300</v>
      </c>
      <c r="CW90" s="68"/>
    </row>
    <row r="91" spans="1:101" x14ac:dyDescent="0.5">
      <c r="A91" s="67">
        <v>86</v>
      </c>
      <c r="B91" s="81" t="s">
        <v>171</v>
      </c>
      <c r="C91" s="67"/>
      <c r="D91" s="68"/>
      <c r="E91" s="68"/>
      <c r="F91" s="91"/>
      <c r="G91" s="91"/>
      <c r="H91" s="68"/>
      <c r="I91" s="68"/>
      <c r="J91" s="91"/>
      <c r="K91" s="91"/>
      <c r="L91" s="68"/>
      <c r="M91" s="68"/>
      <c r="N91" s="91"/>
      <c r="O91" s="91"/>
      <c r="P91" s="68"/>
      <c r="Q91" s="68"/>
      <c r="R91" s="91">
        <v>150</v>
      </c>
      <c r="S91" s="91"/>
      <c r="T91" s="68">
        <f t="shared" si="154"/>
        <v>150</v>
      </c>
      <c r="U91" s="68"/>
      <c r="V91" s="91"/>
      <c r="W91" s="91"/>
      <c r="X91" s="68">
        <f t="shared" si="155"/>
        <v>150</v>
      </c>
      <c r="Y91" s="68"/>
      <c r="Z91" s="91"/>
      <c r="AA91" s="91"/>
      <c r="AB91" s="68"/>
      <c r="AC91" s="68"/>
      <c r="AD91" s="91"/>
      <c r="AE91" s="91"/>
      <c r="AF91" s="68"/>
      <c r="AG91" s="68"/>
      <c r="AH91" s="91"/>
      <c r="AI91" s="91"/>
      <c r="AJ91" s="68"/>
      <c r="AK91" s="68"/>
      <c r="AL91" s="91"/>
      <c r="AM91" s="91"/>
      <c r="AN91" s="68"/>
      <c r="AO91" s="68"/>
      <c r="AP91" s="91"/>
      <c r="AQ91" s="91"/>
      <c r="AR91" s="68"/>
      <c r="AS91" s="68"/>
      <c r="AT91" s="91"/>
      <c r="AU91" s="91"/>
      <c r="AV91" s="68"/>
      <c r="AW91" s="68"/>
      <c r="AX91" s="91"/>
      <c r="AY91" s="91"/>
      <c r="AZ91" s="152"/>
      <c r="BA91" s="152"/>
      <c r="BB91" s="91"/>
      <c r="BC91" s="91"/>
      <c r="BD91" s="68"/>
      <c r="BE91" s="68"/>
      <c r="BF91" s="91"/>
      <c r="BG91" s="91"/>
      <c r="BH91" s="68"/>
      <c r="BI91" s="68"/>
      <c r="BJ91" s="91"/>
      <c r="BK91" s="91"/>
      <c r="BL91" s="68"/>
      <c r="BM91" s="68"/>
      <c r="BN91" s="91">
        <v>150</v>
      </c>
      <c r="BO91" s="91"/>
      <c r="BP91" s="68">
        <f t="shared" si="142"/>
        <v>150</v>
      </c>
      <c r="BQ91" s="68"/>
      <c r="BR91" s="91"/>
      <c r="BS91" s="91"/>
      <c r="BT91" s="68">
        <f t="shared" si="143"/>
        <v>150</v>
      </c>
      <c r="BU91" s="68"/>
      <c r="BV91" s="91"/>
      <c r="BW91" s="91"/>
      <c r="BX91" s="68">
        <f t="shared" si="144"/>
        <v>150</v>
      </c>
      <c r="BY91" s="68"/>
      <c r="BZ91" s="91"/>
      <c r="CA91" s="91"/>
      <c r="CB91" s="68">
        <f t="shared" si="145"/>
        <v>150</v>
      </c>
      <c r="CC91" s="68"/>
      <c r="CD91" s="91"/>
      <c r="CE91" s="91"/>
      <c r="CF91" s="68">
        <f t="shared" si="146"/>
        <v>150</v>
      </c>
      <c r="CG91" s="68"/>
      <c r="CH91" s="91"/>
      <c r="CI91" s="91"/>
      <c r="CJ91" s="68">
        <f t="shared" si="147"/>
        <v>150</v>
      </c>
      <c r="CK91" s="68"/>
      <c r="CL91" s="91"/>
      <c r="CM91" s="91"/>
      <c r="CN91" s="68">
        <f t="shared" si="148"/>
        <v>150</v>
      </c>
      <c r="CO91" s="68"/>
      <c r="CP91" s="91">
        <v>1600</v>
      </c>
      <c r="CQ91" s="91"/>
      <c r="CR91" s="68">
        <f t="shared" si="149"/>
        <v>1750</v>
      </c>
      <c r="CS91" s="68"/>
      <c r="CT91" s="91"/>
      <c r="CU91" s="91"/>
      <c r="CV91" s="68">
        <f t="shared" si="150"/>
        <v>1750</v>
      </c>
      <c r="CW91" s="68"/>
    </row>
    <row r="92" spans="1:101" x14ac:dyDescent="0.5">
      <c r="A92" s="67">
        <v>87</v>
      </c>
      <c r="B92" s="81" t="s">
        <v>151</v>
      </c>
      <c r="C92" s="67"/>
      <c r="D92" s="68"/>
      <c r="E92" s="68"/>
      <c r="F92" s="91">
        <v>1000</v>
      </c>
      <c r="G92" s="91"/>
      <c r="H92" s="68">
        <f>+D92+F92-G92</f>
        <v>1000</v>
      </c>
      <c r="I92" s="68"/>
      <c r="J92" s="91"/>
      <c r="K92" s="91"/>
      <c r="L92" s="68">
        <f>+H92+J92-K92</f>
        <v>1000</v>
      </c>
      <c r="M92" s="68"/>
      <c r="N92" s="91"/>
      <c r="O92" s="91"/>
      <c r="P92" s="68">
        <f>+L92+N92-O92</f>
        <v>1000</v>
      </c>
      <c r="Q92" s="68"/>
      <c r="R92" s="91"/>
      <c r="S92" s="91"/>
      <c r="T92" s="68">
        <f t="shared" si="154"/>
        <v>1000</v>
      </c>
      <c r="U92" s="68"/>
      <c r="V92" s="91"/>
      <c r="W92" s="91"/>
      <c r="X92" s="68">
        <f t="shared" si="155"/>
        <v>1000</v>
      </c>
      <c r="Y92" s="68"/>
      <c r="Z92" s="91"/>
      <c r="AA92" s="91"/>
      <c r="AB92" s="68">
        <f>+X92+Z92-AA92</f>
        <v>1000</v>
      </c>
      <c r="AC92" s="68"/>
      <c r="AD92" s="91"/>
      <c r="AE92" s="91"/>
      <c r="AF92" s="68">
        <f>+AB92+AD92-AE92</f>
        <v>1000</v>
      </c>
      <c r="AG92" s="68"/>
      <c r="AH92" s="91">
        <v>300</v>
      </c>
      <c r="AI92" s="91"/>
      <c r="AJ92" s="68">
        <f>+AF92+AH92-AI92</f>
        <v>1300</v>
      </c>
      <c r="AK92" s="68"/>
      <c r="AL92" s="91"/>
      <c r="AM92" s="91"/>
      <c r="AN92" s="68">
        <f>+AJ92+AL92-AM92</f>
        <v>1300</v>
      </c>
      <c r="AO92" s="68"/>
      <c r="AP92" s="91"/>
      <c r="AQ92" s="91"/>
      <c r="AR92" s="68">
        <f>+AN92+AP92-AQ92</f>
        <v>1300</v>
      </c>
      <c r="AS92" s="68">
        <f>+AO92+AQ92-AP92</f>
        <v>0</v>
      </c>
      <c r="AT92" s="91">
        <v>100</v>
      </c>
      <c r="AU92" s="91"/>
      <c r="AV92" s="68">
        <f>+AR92+AT92-AU92</f>
        <v>1400</v>
      </c>
      <c r="AW92" s="68"/>
      <c r="AX92" s="91"/>
      <c r="AY92" s="91"/>
      <c r="AZ92" s="152"/>
      <c r="BA92" s="152"/>
      <c r="BB92" s="91">
        <v>500</v>
      </c>
      <c r="BC92" s="91"/>
      <c r="BD92" s="68">
        <f>+AZ92+BB92-BC92</f>
        <v>500</v>
      </c>
      <c r="BE92" s="68"/>
      <c r="BF92" s="91"/>
      <c r="BG92" s="91"/>
      <c r="BH92" s="68">
        <f>+BD92+BF92-BG92</f>
        <v>500</v>
      </c>
      <c r="BI92" s="68"/>
      <c r="BJ92" s="91"/>
      <c r="BK92" s="91"/>
      <c r="BL92" s="68">
        <f>+BH92+BJ92-BK92</f>
        <v>500</v>
      </c>
      <c r="BM92" s="68"/>
      <c r="BN92" s="91"/>
      <c r="BO92" s="91"/>
      <c r="BP92" s="68">
        <f t="shared" si="142"/>
        <v>500</v>
      </c>
      <c r="BQ92" s="68"/>
      <c r="BR92" s="91">
        <v>500</v>
      </c>
      <c r="BS92" s="91"/>
      <c r="BT92" s="68">
        <f t="shared" si="143"/>
        <v>1000</v>
      </c>
      <c r="BU92" s="68"/>
      <c r="BV92" s="91"/>
      <c r="BW92" s="91"/>
      <c r="BX92" s="68">
        <f t="shared" si="144"/>
        <v>1000</v>
      </c>
      <c r="BY92" s="68"/>
      <c r="BZ92" s="91"/>
      <c r="CA92" s="91"/>
      <c r="CB92" s="68">
        <f t="shared" si="145"/>
        <v>1000</v>
      </c>
      <c r="CC92" s="68"/>
      <c r="CD92" s="91">
        <v>500</v>
      </c>
      <c r="CE92" s="91"/>
      <c r="CF92" s="68">
        <f t="shared" si="146"/>
        <v>1500</v>
      </c>
      <c r="CG92" s="68"/>
      <c r="CH92" s="91"/>
      <c r="CI92" s="91"/>
      <c r="CJ92" s="68">
        <f t="shared" si="147"/>
        <v>1500</v>
      </c>
      <c r="CK92" s="68"/>
      <c r="CL92" s="91"/>
      <c r="CM92" s="91"/>
      <c r="CN92" s="68">
        <f t="shared" si="148"/>
        <v>1500</v>
      </c>
      <c r="CO92" s="68"/>
      <c r="CP92" s="91"/>
      <c r="CQ92" s="91"/>
      <c r="CR92" s="68">
        <f t="shared" si="149"/>
        <v>1500</v>
      </c>
      <c r="CS92" s="68"/>
      <c r="CT92" s="91">
        <v>300</v>
      </c>
      <c r="CU92" s="91"/>
      <c r="CV92" s="68">
        <f t="shared" si="150"/>
        <v>1800</v>
      </c>
      <c r="CW92" s="68"/>
    </row>
    <row r="93" spans="1:101" x14ac:dyDescent="0.5">
      <c r="A93" s="67">
        <v>88</v>
      </c>
      <c r="B93" s="81" t="s">
        <v>199</v>
      </c>
      <c r="C93" s="67"/>
      <c r="D93" s="68"/>
      <c r="E93" s="68"/>
      <c r="F93" s="91"/>
      <c r="G93" s="91"/>
      <c r="H93" s="68"/>
      <c r="I93" s="68"/>
      <c r="J93" s="91"/>
      <c r="K93" s="91"/>
      <c r="L93" s="68"/>
      <c r="M93" s="68"/>
      <c r="N93" s="91"/>
      <c r="O93" s="91"/>
      <c r="P93" s="68"/>
      <c r="Q93" s="68"/>
      <c r="R93" s="91"/>
      <c r="S93" s="91"/>
      <c r="T93" s="68"/>
      <c r="U93" s="68"/>
      <c r="V93" s="91"/>
      <c r="W93" s="91"/>
      <c r="X93" s="68"/>
      <c r="Y93" s="68"/>
      <c r="Z93" s="91"/>
      <c r="AA93" s="91"/>
      <c r="AB93" s="68"/>
      <c r="AC93" s="68"/>
      <c r="AD93" s="91"/>
      <c r="AE93" s="91"/>
      <c r="AF93" s="68"/>
      <c r="AG93" s="68"/>
      <c r="AH93" s="91"/>
      <c r="AI93" s="91"/>
      <c r="AJ93" s="68"/>
      <c r="AK93" s="68"/>
      <c r="AL93" s="91"/>
      <c r="AM93" s="91"/>
      <c r="AN93" s="68"/>
      <c r="AO93" s="68"/>
      <c r="AP93" s="91"/>
      <c r="AQ93" s="91"/>
      <c r="AR93" s="68"/>
      <c r="AS93" s="68"/>
      <c r="AT93" s="91"/>
      <c r="AU93" s="91"/>
      <c r="AV93" s="68"/>
      <c r="AW93" s="68"/>
      <c r="AX93" s="91"/>
      <c r="AY93" s="91"/>
      <c r="AZ93" s="152"/>
      <c r="BA93" s="152"/>
      <c r="BB93" s="91"/>
      <c r="BC93" s="91"/>
      <c r="BD93" s="68"/>
      <c r="BE93" s="68"/>
      <c r="BF93" s="91"/>
      <c r="BG93" s="91"/>
      <c r="BH93" s="68"/>
      <c r="BI93" s="68"/>
      <c r="BJ93" s="91"/>
      <c r="BK93" s="91"/>
      <c r="BL93" s="68"/>
      <c r="BM93" s="68"/>
      <c r="BN93" s="91"/>
      <c r="BO93" s="91"/>
      <c r="BP93" s="68"/>
      <c r="BQ93" s="68"/>
      <c r="BR93" s="91"/>
      <c r="BS93" s="91"/>
      <c r="BT93" s="68"/>
      <c r="BU93" s="68"/>
      <c r="BV93" s="91"/>
      <c r="BW93" s="91"/>
      <c r="BX93" s="68"/>
      <c r="BY93" s="68"/>
      <c r="BZ93" s="91"/>
      <c r="CA93" s="91"/>
      <c r="CB93" s="68"/>
      <c r="CC93" s="68"/>
      <c r="CD93" s="91"/>
      <c r="CE93" s="91"/>
      <c r="CF93" s="68"/>
      <c r="CG93" s="68"/>
      <c r="CH93" s="91"/>
      <c r="CI93" s="91"/>
      <c r="CJ93" s="68"/>
      <c r="CK93" s="68"/>
      <c r="CL93" s="91"/>
      <c r="CM93" s="91"/>
      <c r="CN93" s="68"/>
      <c r="CO93" s="68"/>
      <c r="CP93" s="91">
        <v>28898.14</v>
      </c>
      <c r="CQ93" s="91"/>
      <c r="CR93" s="68">
        <f t="shared" si="149"/>
        <v>28898.14</v>
      </c>
      <c r="CS93" s="68"/>
      <c r="CT93" s="91"/>
      <c r="CU93" s="91"/>
      <c r="CV93" s="68">
        <f t="shared" si="150"/>
        <v>28898.14</v>
      </c>
      <c r="CW93" s="68"/>
    </row>
    <row r="94" spans="1:101" x14ac:dyDescent="0.5">
      <c r="A94" s="67">
        <v>89</v>
      </c>
      <c r="B94" s="81" t="s">
        <v>92</v>
      </c>
      <c r="C94" s="67"/>
      <c r="D94" s="68">
        <f>+'กระดาษทำการ 30 เม.ย.58'!BP87</f>
        <v>0</v>
      </c>
      <c r="E94" s="68">
        <f>+'กระดาษทำการ 30 เม.ย.58'!BQ87</f>
        <v>0</v>
      </c>
      <c r="F94" s="91"/>
      <c r="G94" s="91"/>
      <c r="H94" s="68">
        <f>+D94+F94-G94</f>
        <v>0</v>
      </c>
      <c r="I94" s="68"/>
      <c r="J94" s="91"/>
      <c r="K94" s="91"/>
      <c r="L94" s="68">
        <f>+H94+J94-K94</f>
        <v>0</v>
      </c>
      <c r="M94" s="68"/>
      <c r="N94" s="91"/>
      <c r="O94" s="91"/>
      <c r="P94" s="68">
        <f>+L94+N94-O94</f>
        <v>0</v>
      </c>
      <c r="Q94" s="68"/>
      <c r="R94" s="91"/>
      <c r="S94" s="91"/>
      <c r="T94" s="68">
        <f>+P94+R94-S94</f>
        <v>0</v>
      </c>
      <c r="U94" s="68"/>
      <c r="V94" s="91"/>
      <c r="W94" s="91"/>
      <c r="X94" s="68">
        <f>+T94+V94-W94</f>
        <v>0</v>
      </c>
      <c r="Y94" s="68"/>
      <c r="Z94" s="91"/>
      <c r="AA94" s="91"/>
      <c r="AB94" s="68">
        <f>+X94+Z94-AA94</f>
        <v>0</v>
      </c>
      <c r="AC94" s="68"/>
      <c r="AD94" s="91"/>
      <c r="AE94" s="91"/>
      <c r="AF94" s="68">
        <f>+AB94+AD94-AE94</f>
        <v>0</v>
      </c>
      <c r="AG94" s="68"/>
      <c r="AH94" s="91"/>
      <c r="AI94" s="91"/>
      <c r="AJ94" s="68">
        <f>+AF94+AH94-AI94</f>
        <v>0</v>
      </c>
      <c r="AK94" s="68"/>
      <c r="AL94" s="91"/>
      <c r="AM94" s="91"/>
      <c r="AN94" s="68">
        <f>+AJ94+AL94-AM94</f>
        <v>0</v>
      </c>
      <c r="AO94" s="68"/>
      <c r="AP94" s="91"/>
      <c r="AQ94" s="91"/>
      <c r="AR94" s="68">
        <f>+AN94+AP94-AQ94</f>
        <v>0</v>
      </c>
      <c r="AS94" s="68">
        <f>+AO94+AQ94-AP94</f>
        <v>0</v>
      </c>
      <c r="AT94" s="91"/>
      <c r="AU94" s="91"/>
      <c r="AV94" s="68">
        <f>+AR94+AT94-AU94</f>
        <v>0</v>
      </c>
      <c r="AW94" s="68"/>
      <c r="AX94" s="91"/>
      <c r="AY94" s="91"/>
      <c r="AZ94" s="152"/>
      <c r="BA94" s="152"/>
      <c r="BB94" s="91"/>
      <c r="BC94" s="91"/>
      <c r="BD94" s="68">
        <f>+AZ94+BB94-BC94</f>
        <v>0</v>
      </c>
      <c r="BE94" s="68"/>
      <c r="BF94" s="91"/>
      <c r="BG94" s="91"/>
      <c r="BH94" s="68">
        <f>+BD94+BF94-BG94</f>
        <v>0</v>
      </c>
      <c r="BI94" s="68"/>
      <c r="BJ94" s="91"/>
      <c r="BK94" s="91"/>
      <c r="BL94" s="68">
        <f>+BH94+BJ94-BK94</f>
        <v>0</v>
      </c>
      <c r="BM94" s="68"/>
      <c r="BN94" s="91"/>
      <c r="BO94" s="91"/>
      <c r="BP94" s="68">
        <f>+BL94+BN94-BO94</f>
        <v>0</v>
      </c>
      <c r="BQ94" s="68"/>
      <c r="BR94" s="91"/>
      <c r="BS94" s="91"/>
      <c r="BT94" s="68">
        <f>BP94+BR94-BS94</f>
        <v>0</v>
      </c>
      <c r="BU94" s="68"/>
      <c r="BV94" s="91"/>
      <c r="BW94" s="91"/>
      <c r="BX94" s="68">
        <f>BT94+BV94-BW94</f>
        <v>0</v>
      </c>
      <c r="BY94" s="68"/>
      <c r="BZ94" s="91"/>
      <c r="CA94" s="91"/>
      <c r="CB94" s="68">
        <f>BX94+BZ94-CA94</f>
        <v>0</v>
      </c>
      <c r="CC94" s="68"/>
      <c r="CD94" s="91"/>
      <c r="CE94" s="91"/>
      <c r="CF94" s="68">
        <f>CB94+CD94-CE94</f>
        <v>0</v>
      </c>
      <c r="CG94" s="68"/>
      <c r="CH94" s="91"/>
      <c r="CI94" s="91"/>
      <c r="CJ94" s="68">
        <f>CF94+CH94-CI94</f>
        <v>0</v>
      </c>
      <c r="CK94" s="68"/>
      <c r="CL94" s="91"/>
      <c r="CM94" s="91"/>
      <c r="CN94" s="68">
        <f>CJ94+CL94-CM94</f>
        <v>0</v>
      </c>
      <c r="CO94" s="68"/>
      <c r="CP94" s="91"/>
      <c r="CQ94" s="91"/>
      <c r="CR94" s="68">
        <f t="shared" si="149"/>
        <v>0</v>
      </c>
      <c r="CS94" s="68"/>
      <c r="CT94" s="91"/>
      <c r="CU94" s="91"/>
      <c r="CV94" s="68">
        <f t="shared" si="150"/>
        <v>0</v>
      </c>
      <c r="CW94" s="68"/>
    </row>
    <row r="95" spans="1:101" x14ac:dyDescent="0.5">
      <c r="A95" s="67">
        <v>90</v>
      </c>
      <c r="B95" s="81" t="s">
        <v>89</v>
      </c>
      <c r="C95" s="67"/>
      <c r="D95" s="68">
        <f>+'กระดาษทำการ 30 เม.ย.58'!BP88</f>
        <v>0</v>
      </c>
      <c r="E95" s="68">
        <f>+'กระดาษทำการ 30 เม.ย.58'!BQ88</f>
        <v>0</v>
      </c>
      <c r="F95" s="91"/>
      <c r="G95" s="91"/>
      <c r="H95" s="68">
        <f>+D95+F95-G95</f>
        <v>0</v>
      </c>
      <c r="I95" s="68"/>
      <c r="J95" s="91"/>
      <c r="K95" s="91"/>
      <c r="L95" s="68">
        <f>+H95+J95-K95</f>
        <v>0</v>
      </c>
      <c r="M95" s="68"/>
      <c r="N95" s="91"/>
      <c r="O95" s="91"/>
      <c r="P95" s="68">
        <f>+L95+N95-O95</f>
        <v>0</v>
      </c>
      <c r="Q95" s="68"/>
      <c r="R95" s="91"/>
      <c r="S95" s="91"/>
      <c r="T95" s="68">
        <f>+P95+R95-S95</f>
        <v>0</v>
      </c>
      <c r="U95" s="68"/>
      <c r="V95" s="91"/>
      <c r="W95" s="91"/>
      <c r="X95" s="68">
        <f>+T95+V95-W95</f>
        <v>0</v>
      </c>
      <c r="Y95" s="68"/>
      <c r="Z95" s="91"/>
      <c r="AA95" s="91"/>
      <c r="AB95" s="68">
        <f>+X95+Z95-AA95</f>
        <v>0</v>
      </c>
      <c r="AC95" s="68"/>
      <c r="AD95" s="91"/>
      <c r="AE95" s="91"/>
      <c r="AF95" s="68">
        <f>+AB95+AD95-AE95</f>
        <v>0</v>
      </c>
      <c r="AG95" s="68"/>
      <c r="AH95" s="91"/>
      <c r="AI95" s="91"/>
      <c r="AJ95" s="68">
        <f>+AF95+AH95-AI95</f>
        <v>0</v>
      </c>
      <c r="AK95" s="68"/>
      <c r="AL95" s="91"/>
      <c r="AM95" s="91"/>
      <c r="AN95" s="68">
        <f>+AJ95+AL95-AM95</f>
        <v>0</v>
      </c>
      <c r="AO95" s="68"/>
      <c r="AP95" s="91"/>
      <c r="AQ95" s="91"/>
      <c r="AR95" s="68">
        <f>+AN95+AP95-AQ95</f>
        <v>0</v>
      </c>
      <c r="AS95" s="68">
        <f>+AO95+AQ95-AP95</f>
        <v>0</v>
      </c>
      <c r="AT95" s="91"/>
      <c r="AU95" s="91"/>
      <c r="AV95" s="68">
        <f>+AR95+AT95-AU95</f>
        <v>0</v>
      </c>
      <c r="AW95" s="68"/>
      <c r="AX95" s="91"/>
      <c r="AY95" s="91"/>
      <c r="AZ95" s="152"/>
      <c r="BA95" s="152"/>
      <c r="BB95" s="91"/>
      <c r="BC95" s="91"/>
      <c r="BD95" s="68">
        <f>+AZ95+BB95-BC95</f>
        <v>0</v>
      </c>
      <c r="BE95" s="68"/>
      <c r="BF95" s="91"/>
      <c r="BG95" s="91"/>
      <c r="BH95" s="68">
        <f>+BD95+BF95-BG95</f>
        <v>0</v>
      </c>
      <c r="BI95" s="68"/>
      <c r="BJ95" s="91"/>
      <c r="BK95" s="91"/>
      <c r="BL95" s="68">
        <f>+BH95+BJ95-BK95</f>
        <v>0</v>
      </c>
      <c r="BM95" s="68"/>
      <c r="BN95" s="91"/>
      <c r="BO95" s="91"/>
      <c r="BP95" s="68">
        <f>+BL95+BN95-BO95</f>
        <v>0</v>
      </c>
      <c r="BQ95" s="68"/>
      <c r="BR95" s="91"/>
      <c r="BS95" s="91"/>
      <c r="BT95" s="68">
        <f>BP95+BR95-BS95</f>
        <v>0</v>
      </c>
      <c r="BU95" s="68"/>
      <c r="BV95" s="91"/>
      <c r="BW95" s="91"/>
      <c r="BX95" s="68">
        <f>BT95+BV95-BW95</f>
        <v>0</v>
      </c>
      <c r="BY95" s="68"/>
      <c r="BZ95" s="91"/>
      <c r="CA95" s="91"/>
      <c r="CB95" s="68">
        <f>BX95+BZ95-CA95</f>
        <v>0</v>
      </c>
      <c r="CC95" s="68"/>
      <c r="CD95" s="91"/>
      <c r="CE95" s="91"/>
      <c r="CF95" s="68">
        <f>CB95+CD95-CE95</f>
        <v>0</v>
      </c>
      <c r="CG95" s="68"/>
      <c r="CH95" s="91"/>
      <c r="CI95" s="91"/>
      <c r="CJ95" s="68">
        <f>CF95+CH95-CI95</f>
        <v>0</v>
      </c>
      <c r="CK95" s="68"/>
      <c r="CL95" s="91"/>
      <c r="CM95" s="91"/>
      <c r="CN95" s="68">
        <f>CJ95+CL95-CM95</f>
        <v>0</v>
      </c>
      <c r="CO95" s="68"/>
      <c r="CP95" s="91"/>
      <c r="CQ95" s="91"/>
      <c r="CR95" s="68">
        <f t="shared" si="149"/>
        <v>0</v>
      </c>
      <c r="CS95" s="68"/>
      <c r="CT95" s="91"/>
      <c r="CU95" s="91"/>
      <c r="CV95" s="68">
        <f t="shared" si="150"/>
        <v>0</v>
      </c>
      <c r="CW95" s="68"/>
    </row>
    <row r="96" spans="1:101" x14ac:dyDescent="0.5">
      <c r="A96" s="67">
        <v>91</v>
      </c>
      <c r="B96" s="81" t="s">
        <v>90</v>
      </c>
      <c r="C96" s="67"/>
      <c r="D96" s="68">
        <f>+'กระดาษทำการ 30 เม.ย.58'!BP89</f>
        <v>0</v>
      </c>
      <c r="E96" s="68">
        <f>+'กระดาษทำการ 30 เม.ย.58'!BQ89</f>
        <v>0</v>
      </c>
      <c r="F96" s="91"/>
      <c r="G96" s="91"/>
      <c r="H96" s="68">
        <f>+D96+F96-G96</f>
        <v>0</v>
      </c>
      <c r="I96" s="68"/>
      <c r="J96" s="91"/>
      <c r="K96" s="91"/>
      <c r="L96" s="68">
        <f>+H96+J96-K96</f>
        <v>0</v>
      </c>
      <c r="M96" s="68"/>
      <c r="N96" s="91"/>
      <c r="O96" s="91"/>
      <c r="P96" s="68">
        <f>+L96+N96-O96</f>
        <v>0</v>
      </c>
      <c r="Q96" s="68"/>
      <c r="R96" s="91"/>
      <c r="S96" s="91"/>
      <c r="T96" s="68">
        <f>+P96+R96-S96</f>
        <v>0</v>
      </c>
      <c r="U96" s="68"/>
      <c r="V96" s="91"/>
      <c r="W96" s="91"/>
      <c r="X96" s="68">
        <f>+T96+V96-W96</f>
        <v>0</v>
      </c>
      <c r="Y96" s="68"/>
      <c r="Z96" s="91"/>
      <c r="AA96" s="91"/>
      <c r="AB96" s="68">
        <f>+X96+Z96-AA96</f>
        <v>0</v>
      </c>
      <c r="AC96" s="68"/>
      <c r="AD96" s="91"/>
      <c r="AE96" s="91"/>
      <c r="AF96" s="68">
        <f>+AB96+AD96-AE96</f>
        <v>0</v>
      </c>
      <c r="AG96" s="68"/>
      <c r="AH96" s="91"/>
      <c r="AI96" s="91"/>
      <c r="AJ96" s="68">
        <f>+AF96+AH96-AI96</f>
        <v>0</v>
      </c>
      <c r="AK96" s="68"/>
      <c r="AL96" s="91"/>
      <c r="AM96" s="91"/>
      <c r="AN96" s="68">
        <f>+AJ96+AL96-AM96</f>
        <v>0</v>
      </c>
      <c r="AO96" s="68"/>
      <c r="AP96" s="91"/>
      <c r="AQ96" s="91"/>
      <c r="AR96" s="68">
        <f>+AN96+AP96-AQ96</f>
        <v>0</v>
      </c>
      <c r="AS96" s="68">
        <f>+AO96+AQ96-AP96</f>
        <v>0</v>
      </c>
      <c r="AT96" s="91"/>
      <c r="AU96" s="91"/>
      <c r="AV96" s="68">
        <f>+AR96+AT96-AU96</f>
        <v>0</v>
      </c>
      <c r="AW96" s="68"/>
      <c r="AX96" s="91"/>
      <c r="AY96" s="91"/>
      <c r="AZ96" s="152"/>
      <c r="BA96" s="152"/>
      <c r="BB96" s="91"/>
      <c r="BC96" s="91"/>
      <c r="BD96" s="68">
        <f>+AZ96+BB96-BC96</f>
        <v>0</v>
      </c>
      <c r="BE96" s="68"/>
      <c r="BF96" s="91"/>
      <c r="BG96" s="91"/>
      <c r="BH96" s="68">
        <f>+BD96+BF96-BG96</f>
        <v>0</v>
      </c>
      <c r="BI96" s="68"/>
      <c r="BJ96" s="91"/>
      <c r="BK96" s="91"/>
      <c r="BL96" s="68">
        <f>+BH96+BJ96-BK96</f>
        <v>0</v>
      </c>
      <c r="BM96" s="68"/>
      <c r="BN96" s="91"/>
      <c r="BO96" s="91"/>
      <c r="BP96" s="68">
        <f>+BL96+BN96-BO96</f>
        <v>0</v>
      </c>
      <c r="BQ96" s="68"/>
      <c r="BR96" s="91"/>
      <c r="BS96" s="91"/>
      <c r="BT96" s="68">
        <f>BP96+BR96-BS96</f>
        <v>0</v>
      </c>
      <c r="BU96" s="68"/>
      <c r="BV96" s="91"/>
      <c r="BW96" s="91"/>
      <c r="BX96" s="68">
        <f>BT96+BV96-BW96</f>
        <v>0</v>
      </c>
      <c r="BY96" s="68"/>
      <c r="BZ96" s="91"/>
      <c r="CA96" s="91"/>
      <c r="CB96" s="68">
        <f>BX96+BZ96-CA96</f>
        <v>0</v>
      </c>
      <c r="CC96" s="68"/>
      <c r="CD96" s="91"/>
      <c r="CE96" s="91"/>
      <c r="CF96" s="68">
        <f>CB96+CD96-CE96</f>
        <v>0</v>
      </c>
      <c r="CG96" s="68"/>
      <c r="CH96" s="91"/>
      <c r="CI96" s="91"/>
      <c r="CJ96" s="68">
        <f>CF96+CH96-CI96</f>
        <v>0</v>
      </c>
      <c r="CK96" s="68"/>
      <c r="CL96" s="91"/>
      <c r="CM96" s="91"/>
      <c r="CN96" s="68">
        <f>CJ96+CL96-CM96</f>
        <v>0</v>
      </c>
      <c r="CO96" s="68"/>
      <c r="CP96" s="91"/>
      <c r="CQ96" s="91"/>
      <c r="CR96" s="68">
        <f t="shared" si="149"/>
        <v>0</v>
      </c>
      <c r="CS96" s="68"/>
      <c r="CT96" s="91"/>
      <c r="CU96" s="91"/>
      <c r="CV96" s="68">
        <f t="shared" si="150"/>
        <v>0</v>
      </c>
      <c r="CW96" s="68"/>
    </row>
    <row r="97" spans="1:101" x14ac:dyDescent="0.5">
      <c r="A97" s="67">
        <v>92</v>
      </c>
      <c r="B97" s="81" t="s">
        <v>91</v>
      </c>
      <c r="C97" s="67"/>
      <c r="D97" s="68">
        <f>+'กระดาษทำการ 30 เม.ย.58'!BP90</f>
        <v>0</v>
      </c>
      <c r="E97" s="68">
        <f>+'กระดาษทำการ 30 เม.ย.58'!BQ90</f>
        <v>0</v>
      </c>
      <c r="F97" s="91"/>
      <c r="G97" s="91"/>
      <c r="H97" s="68">
        <f>+D97+F97-G97</f>
        <v>0</v>
      </c>
      <c r="I97" s="68"/>
      <c r="J97" s="91"/>
      <c r="K97" s="91"/>
      <c r="L97" s="68">
        <f>+H97+J97-K97</f>
        <v>0</v>
      </c>
      <c r="M97" s="68"/>
      <c r="N97" s="91"/>
      <c r="O97" s="91"/>
      <c r="P97" s="68">
        <f>+L97+N97-O97</f>
        <v>0</v>
      </c>
      <c r="Q97" s="68"/>
      <c r="R97" s="91"/>
      <c r="S97" s="91"/>
      <c r="T97" s="68">
        <f>+P97+R97-S97</f>
        <v>0</v>
      </c>
      <c r="U97" s="68"/>
      <c r="V97" s="91"/>
      <c r="W97" s="91"/>
      <c r="X97" s="68">
        <f>+T97+V97-W97</f>
        <v>0</v>
      </c>
      <c r="Y97" s="68"/>
      <c r="Z97" s="91"/>
      <c r="AA97" s="91"/>
      <c r="AB97" s="68">
        <f>+X97+Z97-AA97</f>
        <v>0</v>
      </c>
      <c r="AC97" s="68"/>
      <c r="AD97" s="91"/>
      <c r="AE97" s="91"/>
      <c r="AF97" s="68">
        <f>+AB97+AD97-AE97</f>
        <v>0</v>
      </c>
      <c r="AG97" s="68"/>
      <c r="AH97" s="91"/>
      <c r="AI97" s="91"/>
      <c r="AJ97" s="68">
        <f>+AF97+AH97-AI97</f>
        <v>0</v>
      </c>
      <c r="AK97" s="68"/>
      <c r="AL97" s="91"/>
      <c r="AM97" s="91"/>
      <c r="AN97" s="68">
        <f>+AJ97+AL97-AM97</f>
        <v>0</v>
      </c>
      <c r="AO97" s="68"/>
      <c r="AP97" s="91"/>
      <c r="AQ97" s="91"/>
      <c r="AR97" s="68">
        <f>+AN97+AP97-AQ97</f>
        <v>0</v>
      </c>
      <c r="AS97" s="68">
        <f>+AO97+AQ97-AP97</f>
        <v>0</v>
      </c>
      <c r="AT97" s="91"/>
      <c r="AU97" s="91"/>
      <c r="AV97" s="68">
        <f>+AR97+AT97-AU97</f>
        <v>0</v>
      </c>
      <c r="AW97" s="68"/>
      <c r="AX97" s="91"/>
      <c r="AY97" s="91"/>
      <c r="AZ97" s="152"/>
      <c r="BA97" s="152"/>
      <c r="BB97" s="91"/>
      <c r="BC97" s="91"/>
      <c r="BD97" s="68">
        <f>+AZ97+BB97-BC97</f>
        <v>0</v>
      </c>
      <c r="BE97" s="68"/>
      <c r="BF97" s="91"/>
      <c r="BG97" s="91"/>
      <c r="BH97" s="68">
        <f>+BD97+BF97-BG97</f>
        <v>0</v>
      </c>
      <c r="BI97" s="68"/>
      <c r="BJ97" s="91"/>
      <c r="BK97" s="91"/>
      <c r="BL97" s="68">
        <f>+BH97+BJ97-BK97</f>
        <v>0</v>
      </c>
      <c r="BM97" s="68"/>
      <c r="BN97" s="91"/>
      <c r="BO97" s="91"/>
      <c r="BP97" s="68">
        <f>+BL97+BN97-BO97</f>
        <v>0</v>
      </c>
      <c r="BQ97" s="68"/>
      <c r="BR97" s="91"/>
      <c r="BS97" s="91"/>
      <c r="BT97" s="68">
        <f>BP97+BR97-BS97</f>
        <v>0</v>
      </c>
      <c r="BU97" s="68"/>
      <c r="BV97" s="91"/>
      <c r="BW97" s="91"/>
      <c r="BX97" s="68">
        <f>BT97+BV97-BW97</f>
        <v>0</v>
      </c>
      <c r="BY97" s="68"/>
      <c r="BZ97" s="91"/>
      <c r="CA97" s="91"/>
      <c r="CB97" s="68">
        <f>BX97+BZ97-CA97</f>
        <v>0</v>
      </c>
      <c r="CC97" s="68"/>
      <c r="CD97" s="91"/>
      <c r="CE97" s="91"/>
      <c r="CF97" s="68">
        <f>CB97+CD97-CE97</f>
        <v>0</v>
      </c>
      <c r="CG97" s="68"/>
      <c r="CH97" s="91"/>
      <c r="CI97" s="91"/>
      <c r="CJ97" s="68">
        <f>CF97+CH97-CI97</f>
        <v>0</v>
      </c>
      <c r="CK97" s="68"/>
      <c r="CL97" s="91"/>
      <c r="CM97" s="91"/>
      <c r="CN97" s="68">
        <f>CJ97+CL97-CM97</f>
        <v>0</v>
      </c>
      <c r="CO97" s="68"/>
      <c r="CP97" s="91"/>
      <c r="CQ97" s="91"/>
      <c r="CR97" s="68">
        <f t="shared" si="149"/>
        <v>0</v>
      </c>
      <c r="CS97" s="68"/>
      <c r="CT97" s="91"/>
      <c r="CU97" s="91"/>
      <c r="CV97" s="68">
        <f t="shared" si="150"/>
        <v>0</v>
      </c>
      <c r="CW97" s="68"/>
    </row>
    <row r="98" spans="1:101" x14ac:dyDescent="0.5">
      <c r="A98" s="67">
        <v>93</v>
      </c>
      <c r="B98" s="81" t="s">
        <v>187</v>
      </c>
      <c r="C98" s="67"/>
      <c r="D98" s="68"/>
      <c r="E98" s="68"/>
      <c r="F98" s="91"/>
      <c r="G98" s="91"/>
      <c r="H98" s="68"/>
      <c r="I98" s="68"/>
      <c r="J98" s="91"/>
      <c r="K98" s="91"/>
      <c r="L98" s="68"/>
      <c r="M98" s="68"/>
      <c r="N98" s="91"/>
      <c r="O98" s="91"/>
      <c r="P98" s="68"/>
      <c r="Q98" s="68"/>
      <c r="R98" s="91"/>
      <c r="S98" s="91"/>
      <c r="T98" s="68"/>
      <c r="U98" s="68"/>
      <c r="V98" s="91"/>
      <c r="W98" s="91"/>
      <c r="X98" s="68"/>
      <c r="Y98" s="68"/>
      <c r="Z98" s="91"/>
      <c r="AA98" s="91"/>
      <c r="AB98" s="68"/>
      <c r="AC98" s="68"/>
      <c r="AD98" s="91"/>
      <c r="AE98" s="91"/>
      <c r="AF98" s="68"/>
      <c r="AG98" s="68"/>
      <c r="AH98" s="91"/>
      <c r="AI98" s="91"/>
      <c r="AJ98" s="68"/>
      <c r="AK98" s="68"/>
      <c r="AL98" s="91"/>
      <c r="AM98" s="91"/>
      <c r="AN98" s="68"/>
      <c r="AO98" s="68"/>
      <c r="AP98" s="91"/>
      <c r="AQ98" s="91"/>
      <c r="AR98" s="68"/>
      <c r="AS98" s="68"/>
      <c r="AT98" s="91"/>
      <c r="AU98" s="91"/>
      <c r="AV98" s="68"/>
      <c r="AW98" s="68"/>
      <c r="AX98" s="91"/>
      <c r="AY98" s="91"/>
      <c r="AZ98" s="152"/>
      <c r="BA98" s="152"/>
      <c r="BB98" s="91"/>
      <c r="BC98" s="91"/>
      <c r="BD98" s="68"/>
      <c r="BE98" s="68">
        <f>BA98</f>
        <v>0</v>
      </c>
      <c r="BF98" s="91"/>
      <c r="BG98" s="91"/>
      <c r="BH98" s="68"/>
      <c r="BI98" s="68">
        <f>BE98</f>
        <v>0</v>
      </c>
      <c r="BJ98" s="91"/>
      <c r="BK98" s="91"/>
      <c r="BL98" s="68"/>
      <c r="BM98" s="68">
        <f>BI98</f>
        <v>0</v>
      </c>
      <c r="BN98" s="91"/>
      <c r="BO98" s="91"/>
      <c r="BP98" s="68"/>
      <c r="BQ98" s="68">
        <f>BM98</f>
        <v>0</v>
      </c>
      <c r="BR98" s="91"/>
      <c r="BS98" s="91"/>
      <c r="BT98" s="68"/>
      <c r="BU98" s="68">
        <f>BQ98</f>
        <v>0</v>
      </c>
      <c r="BV98" s="91"/>
      <c r="BW98" s="91"/>
      <c r="BX98" s="68"/>
      <c r="BY98" s="68">
        <f>BU98</f>
        <v>0</v>
      </c>
      <c r="BZ98" s="91"/>
      <c r="CA98" s="91"/>
      <c r="CB98" s="68"/>
      <c r="CC98" s="68">
        <f>BY98</f>
        <v>0</v>
      </c>
      <c r="CD98" s="91"/>
      <c r="CE98" s="91"/>
      <c r="CF98" s="68"/>
      <c r="CG98" s="68">
        <f>CC98</f>
        <v>0</v>
      </c>
      <c r="CH98" s="91"/>
      <c r="CI98" s="91"/>
      <c r="CJ98" s="68"/>
      <c r="CK98" s="68">
        <f>CG98</f>
        <v>0</v>
      </c>
      <c r="CL98" s="91"/>
      <c r="CM98" s="91"/>
      <c r="CN98" s="68"/>
      <c r="CO98" s="68">
        <f>CK98</f>
        <v>0</v>
      </c>
      <c r="CP98" s="91"/>
      <c r="CQ98" s="91"/>
      <c r="CR98" s="68"/>
      <c r="CS98" s="68">
        <f>CO98</f>
        <v>0</v>
      </c>
      <c r="CT98" s="91"/>
      <c r="CU98" s="91"/>
      <c r="CV98" s="68"/>
      <c r="CW98" s="68">
        <f>CS98</f>
        <v>0</v>
      </c>
    </row>
    <row r="99" spans="1:101" x14ac:dyDescent="0.5">
      <c r="A99" s="67">
        <v>94</v>
      </c>
      <c r="B99" s="81" t="s">
        <v>188</v>
      </c>
      <c r="C99" s="67"/>
      <c r="D99" s="68"/>
      <c r="E99" s="68"/>
      <c r="F99" s="91"/>
      <c r="G99" s="91"/>
      <c r="H99" s="68"/>
      <c r="I99" s="68"/>
      <c r="J99" s="91"/>
      <c r="K99" s="91"/>
      <c r="L99" s="68"/>
      <c r="M99" s="68"/>
      <c r="N99" s="91"/>
      <c r="O99" s="91"/>
      <c r="P99" s="68"/>
      <c r="Q99" s="68"/>
      <c r="R99" s="91"/>
      <c r="S99" s="91"/>
      <c r="T99" s="68"/>
      <c r="U99" s="68"/>
      <c r="V99" s="91"/>
      <c r="W99" s="91"/>
      <c r="X99" s="68"/>
      <c r="Y99" s="68"/>
      <c r="Z99" s="91"/>
      <c r="AA99" s="91"/>
      <c r="AB99" s="68"/>
      <c r="AC99" s="68"/>
      <c r="AD99" s="91"/>
      <c r="AE99" s="91"/>
      <c r="AF99" s="68"/>
      <c r="AG99" s="68"/>
      <c r="AH99" s="91"/>
      <c r="AI99" s="91"/>
      <c r="AJ99" s="68"/>
      <c r="AK99" s="68"/>
      <c r="AL99" s="91"/>
      <c r="AM99" s="91"/>
      <c r="AN99" s="68"/>
      <c r="AO99" s="68"/>
      <c r="AP99" s="91"/>
      <c r="AQ99" s="91"/>
      <c r="AR99" s="68"/>
      <c r="AS99" s="68"/>
      <c r="AT99" s="91"/>
      <c r="AU99" s="91"/>
      <c r="AV99" s="68"/>
      <c r="AW99" s="68"/>
      <c r="AX99" s="91"/>
      <c r="AY99" s="91"/>
      <c r="AZ99" s="152"/>
      <c r="BA99" s="152"/>
      <c r="BB99" s="91"/>
      <c r="BC99" s="91"/>
      <c r="BD99" s="68">
        <f>AZ99</f>
        <v>0</v>
      </c>
      <c r="BE99" s="68"/>
      <c r="BF99" s="91"/>
      <c r="BG99" s="91"/>
      <c r="BH99" s="68">
        <f>BD99</f>
        <v>0</v>
      </c>
      <c r="BI99" s="68"/>
      <c r="BJ99" s="91"/>
      <c r="BK99" s="91"/>
      <c r="BL99" s="68">
        <f>BH99</f>
        <v>0</v>
      </c>
      <c r="BM99" s="68"/>
      <c r="BN99" s="91"/>
      <c r="BO99" s="91"/>
      <c r="BP99" s="68">
        <f>BL99</f>
        <v>0</v>
      </c>
      <c r="BQ99" s="68"/>
      <c r="BR99" s="91"/>
      <c r="BS99" s="91"/>
      <c r="BT99" s="68">
        <f>BP99</f>
        <v>0</v>
      </c>
      <c r="BU99" s="68"/>
      <c r="BV99" s="91"/>
      <c r="BW99" s="91"/>
      <c r="BX99" s="68">
        <f>BT99</f>
        <v>0</v>
      </c>
      <c r="BY99" s="68"/>
      <c r="BZ99" s="91"/>
      <c r="CA99" s="91"/>
      <c r="CB99" s="68">
        <f>BX99</f>
        <v>0</v>
      </c>
      <c r="CC99" s="68"/>
      <c r="CD99" s="91"/>
      <c r="CE99" s="91"/>
      <c r="CF99" s="68">
        <f>CB99</f>
        <v>0</v>
      </c>
      <c r="CG99" s="68"/>
      <c r="CH99" s="91"/>
      <c r="CI99" s="91"/>
      <c r="CJ99" s="68">
        <f>CF99</f>
        <v>0</v>
      </c>
      <c r="CK99" s="68"/>
      <c r="CL99" s="91"/>
      <c r="CM99" s="91"/>
      <c r="CN99" s="68">
        <f>CJ99</f>
        <v>0</v>
      </c>
      <c r="CO99" s="68"/>
      <c r="CP99" s="91"/>
      <c r="CQ99" s="91"/>
      <c r="CR99" s="68">
        <f>CN99</f>
        <v>0</v>
      </c>
      <c r="CS99" s="68"/>
      <c r="CT99" s="91"/>
      <c r="CU99" s="91"/>
      <c r="CV99" s="68">
        <f>CR99</f>
        <v>0</v>
      </c>
      <c r="CW99" s="68"/>
    </row>
    <row r="100" spans="1:101" x14ac:dyDescent="0.5">
      <c r="A100" s="67">
        <v>95</v>
      </c>
      <c r="B100" s="81" t="s">
        <v>76</v>
      </c>
      <c r="C100" s="67"/>
      <c r="D100" s="68">
        <f>+'กระดาษทำการ 30 เม.ย.58'!BP91</f>
        <v>0</v>
      </c>
      <c r="E100" s="68">
        <f>+'กระดาษทำการ 30 เม.ย.58'!BQ91</f>
        <v>0</v>
      </c>
      <c r="F100" s="91"/>
      <c r="G100" s="91"/>
      <c r="H100" s="68">
        <f>+D100+F100-G100</f>
        <v>0</v>
      </c>
      <c r="I100" s="68"/>
      <c r="J100" s="91"/>
      <c r="K100" s="91"/>
      <c r="L100" s="68">
        <f>+H100+J100-K100</f>
        <v>0</v>
      </c>
      <c r="M100" s="68"/>
      <c r="N100" s="91"/>
      <c r="O100" s="91"/>
      <c r="P100" s="68">
        <f>+L100+N100-O100</f>
        <v>0</v>
      </c>
      <c r="Q100" s="68"/>
      <c r="R100" s="91"/>
      <c r="S100" s="91"/>
      <c r="T100" s="68">
        <f>+P100+R100-S100</f>
        <v>0</v>
      </c>
      <c r="U100" s="68"/>
      <c r="V100" s="91"/>
      <c r="W100" s="91"/>
      <c r="X100" s="68">
        <f>+T100+V100-W100</f>
        <v>0</v>
      </c>
      <c r="Y100" s="68"/>
      <c r="Z100" s="91"/>
      <c r="AA100" s="91"/>
      <c r="AB100" s="68">
        <f>+X100+Z100-AA100</f>
        <v>0</v>
      </c>
      <c r="AC100" s="68"/>
      <c r="AD100" s="91"/>
      <c r="AE100" s="91"/>
      <c r="AF100" s="68">
        <f>+AB100+AD100-AE100</f>
        <v>0</v>
      </c>
      <c r="AG100" s="68"/>
      <c r="AH100" s="91"/>
      <c r="AI100" s="91"/>
      <c r="AJ100" s="68">
        <f>+AF100+AH100-AI100</f>
        <v>0</v>
      </c>
      <c r="AK100" s="68"/>
      <c r="AL100" s="91"/>
      <c r="AM100" s="91"/>
      <c r="AN100" s="68">
        <f>+AJ100+AL100-AM100</f>
        <v>0</v>
      </c>
      <c r="AO100" s="68"/>
      <c r="AP100" s="91"/>
      <c r="AQ100" s="91"/>
      <c r="AR100" s="68">
        <f>+AN100+AP100-AQ100</f>
        <v>0</v>
      </c>
      <c r="AS100" s="68">
        <f>+AO100+AQ100-AP100</f>
        <v>0</v>
      </c>
      <c r="AT100" s="91"/>
      <c r="AU100" s="91"/>
      <c r="AV100" s="68">
        <f>+AR100+AT100-AU100</f>
        <v>0</v>
      </c>
      <c r="AW100" s="68"/>
      <c r="AX100" s="117"/>
      <c r="AY100" s="91"/>
      <c r="AZ100" s="152"/>
      <c r="BA100" s="152"/>
      <c r="BB100" s="117"/>
      <c r="BC100" s="91"/>
      <c r="BD100" s="68">
        <f>+AZ100+BB100-BC100</f>
        <v>0</v>
      </c>
      <c r="BE100" s="68"/>
      <c r="BF100" s="117"/>
      <c r="BG100" s="91"/>
      <c r="BH100" s="68">
        <f>+BD100+BF100-BG100</f>
        <v>0</v>
      </c>
      <c r="BI100" s="68"/>
      <c r="BJ100" s="117"/>
      <c r="BK100" s="91"/>
      <c r="BL100" s="68">
        <f>+BH100+BJ100-BK100</f>
        <v>0</v>
      </c>
      <c r="BM100" s="68"/>
      <c r="BN100" s="117"/>
      <c r="BO100" s="91"/>
      <c r="BP100" s="68">
        <f>+BL100+BN100-BO100</f>
        <v>0</v>
      </c>
      <c r="BQ100" s="68"/>
      <c r="BR100" s="117"/>
      <c r="BS100" s="91"/>
      <c r="BT100" s="68">
        <f>BP100+BR100-BS100</f>
        <v>0</v>
      </c>
      <c r="BU100" s="68"/>
      <c r="BV100" s="117"/>
      <c r="BW100" s="91"/>
      <c r="BX100" s="68">
        <f>BT100+BV100-BW100</f>
        <v>0</v>
      </c>
      <c r="BY100" s="68"/>
      <c r="BZ100" s="117"/>
      <c r="CA100" s="91"/>
      <c r="CB100" s="68">
        <f>BX100+BZ100-CA100</f>
        <v>0</v>
      </c>
      <c r="CC100" s="68"/>
      <c r="CD100" s="117"/>
      <c r="CE100" s="91"/>
      <c r="CF100" s="68">
        <f>CB100+CD100-CE100</f>
        <v>0</v>
      </c>
      <c r="CG100" s="68"/>
      <c r="CH100" s="117"/>
      <c r="CI100" s="91"/>
      <c r="CJ100" s="68">
        <f>CF100+CH100-CI100</f>
        <v>0</v>
      </c>
      <c r="CK100" s="68"/>
      <c r="CL100" s="117"/>
      <c r="CM100" s="91"/>
      <c r="CN100" s="68">
        <f>CJ100+CL100-CM100</f>
        <v>0</v>
      </c>
      <c r="CO100" s="68"/>
      <c r="CP100" s="117"/>
      <c r="CQ100" s="91"/>
      <c r="CR100" s="68">
        <f>CN100+CP100-CQ100</f>
        <v>0</v>
      </c>
      <c r="CS100" s="68"/>
      <c r="CT100" s="117"/>
      <c r="CU100" s="91"/>
      <c r="CV100" s="68">
        <f>CR100+CT100-CU100</f>
        <v>0</v>
      </c>
      <c r="CW100" s="68"/>
    </row>
    <row r="101" spans="1:101" x14ac:dyDescent="0.5">
      <c r="A101" s="67">
        <v>96</v>
      </c>
      <c r="B101" s="81" t="s">
        <v>94</v>
      </c>
      <c r="C101" s="67"/>
      <c r="D101" s="68">
        <f>+'กระดาษทำการ 30 เม.ย.58'!BP92</f>
        <v>0</v>
      </c>
      <c r="E101" s="68">
        <f>+'กระดาษทำการ 30 เม.ย.58'!BQ92</f>
        <v>0</v>
      </c>
      <c r="F101" s="91"/>
      <c r="G101" s="91"/>
      <c r="H101" s="68">
        <f>+D101+F101-G101</f>
        <v>0</v>
      </c>
      <c r="I101" s="68"/>
      <c r="J101" s="91"/>
      <c r="K101" s="91"/>
      <c r="L101" s="68">
        <f>+H101+J101-K101</f>
        <v>0</v>
      </c>
      <c r="M101" s="68"/>
      <c r="N101" s="91"/>
      <c r="O101" s="91"/>
      <c r="P101" s="68">
        <f>+L101+N101-O101</f>
        <v>0</v>
      </c>
      <c r="Q101" s="68"/>
      <c r="R101" s="91"/>
      <c r="S101" s="91"/>
      <c r="T101" s="68">
        <f>+P101+R101-S101</f>
        <v>0</v>
      </c>
      <c r="U101" s="68"/>
      <c r="V101" s="91"/>
      <c r="W101" s="91"/>
      <c r="X101" s="68">
        <f>+T101+V101-W101</f>
        <v>0</v>
      </c>
      <c r="Y101" s="68"/>
      <c r="Z101" s="91"/>
      <c r="AA101" s="91"/>
      <c r="AB101" s="68">
        <f>+X101+Z101-AA101</f>
        <v>0</v>
      </c>
      <c r="AC101" s="68"/>
      <c r="AD101" s="91"/>
      <c r="AE101" s="91"/>
      <c r="AF101" s="68">
        <f>+AB101+AD101-AE101</f>
        <v>0</v>
      </c>
      <c r="AG101" s="68"/>
      <c r="AH101" s="91"/>
      <c r="AI101" s="91"/>
      <c r="AJ101" s="68">
        <f>+AF101+AH101-AI101</f>
        <v>0</v>
      </c>
      <c r="AK101" s="68"/>
      <c r="AL101" s="91"/>
      <c r="AM101" s="91"/>
      <c r="AN101" s="68">
        <f>+AJ101+AL101-AM101</f>
        <v>0</v>
      </c>
      <c r="AO101" s="68"/>
      <c r="AP101" s="91"/>
      <c r="AQ101" s="91"/>
      <c r="AR101" s="68">
        <f>+AN101+AP101-AQ101</f>
        <v>0</v>
      </c>
      <c r="AS101" s="68">
        <f>+AO101+AQ101-AP101</f>
        <v>0</v>
      </c>
      <c r="AT101" s="91"/>
      <c r="AU101" s="91"/>
      <c r="AV101" s="68">
        <f>+AR101+AT101-AU101</f>
        <v>0</v>
      </c>
      <c r="AW101" s="68"/>
      <c r="AX101" s="117"/>
      <c r="AY101" s="91"/>
      <c r="AZ101" s="152"/>
      <c r="BA101" s="152"/>
      <c r="BB101" s="117"/>
      <c r="BC101" s="91"/>
      <c r="BD101" s="68">
        <f>+AZ101+BB101-BC101</f>
        <v>0</v>
      </c>
      <c r="BE101" s="68"/>
      <c r="BF101" s="117"/>
      <c r="BG101" s="91"/>
      <c r="BH101" s="68">
        <f>+BD101+BF101-BG101</f>
        <v>0</v>
      </c>
      <c r="BI101" s="68"/>
      <c r="BJ101" s="117"/>
      <c r="BK101" s="91"/>
      <c r="BL101" s="68">
        <f>+BH101+BJ101-BK101</f>
        <v>0</v>
      </c>
      <c r="BM101" s="68"/>
      <c r="BN101" s="117"/>
      <c r="BO101" s="91"/>
      <c r="BP101" s="68">
        <f>+BL101+BN101-BO101</f>
        <v>0</v>
      </c>
      <c r="BQ101" s="68"/>
      <c r="BR101" s="117"/>
      <c r="BS101" s="91"/>
      <c r="BT101" s="68">
        <f>BP101+BR101-BS101</f>
        <v>0</v>
      </c>
      <c r="BU101" s="68"/>
      <c r="BV101" s="117"/>
      <c r="BW101" s="91"/>
      <c r="BX101" s="68">
        <f>BT101+BV101-BW101</f>
        <v>0</v>
      </c>
      <c r="BY101" s="68"/>
      <c r="BZ101" s="117"/>
      <c r="CA101" s="91"/>
      <c r="CB101" s="68">
        <f>BX101+BZ101-CA101</f>
        <v>0</v>
      </c>
      <c r="CC101" s="68"/>
      <c r="CD101" s="117"/>
      <c r="CE101" s="91"/>
      <c r="CF101" s="68">
        <f>CB101+CD101-CE101</f>
        <v>0</v>
      </c>
      <c r="CG101" s="68"/>
      <c r="CH101" s="117"/>
      <c r="CI101" s="91"/>
      <c r="CJ101" s="68">
        <f>CF101+CH101-CI101</f>
        <v>0</v>
      </c>
      <c r="CK101" s="68"/>
      <c r="CL101" s="117"/>
      <c r="CM101" s="91"/>
      <c r="CN101" s="68">
        <f>CJ101+CL101-CM101</f>
        <v>0</v>
      </c>
      <c r="CO101" s="68"/>
      <c r="CP101" s="117"/>
      <c r="CQ101" s="91"/>
      <c r="CR101" s="68">
        <f>CN101+CP101-CQ101</f>
        <v>0</v>
      </c>
      <c r="CS101" s="68"/>
      <c r="CT101" s="117"/>
      <c r="CU101" s="91"/>
      <c r="CV101" s="68">
        <f>CR101+CT101-CU101</f>
        <v>0</v>
      </c>
      <c r="CW101" s="68"/>
    </row>
    <row r="102" spans="1:101" ht="18" customHeight="1" x14ac:dyDescent="0.5">
      <c r="A102" s="67">
        <v>97</v>
      </c>
      <c r="B102" s="81" t="s">
        <v>138</v>
      </c>
      <c r="C102" s="67"/>
      <c r="D102" s="68">
        <f>+'กระดาษทำการ 30 เม.ย.58'!BP93</f>
        <v>6703</v>
      </c>
      <c r="E102" s="68">
        <f>+'กระดาษทำการ 30 เม.ย.58'!BQ93</f>
        <v>0</v>
      </c>
      <c r="F102" s="91"/>
      <c r="G102" s="91"/>
      <c r="H102" s="68">
        <f>+D102+F102-G102</f>
        <v>6703</v>
      </c>
      <c r="I102" s="68"/>
      <c r="J102" s="91"/>
      <c r="K102" s="91"/>
      <c r="L102" s="68">
        <f>+H102+J102-K102</f>
        <v>6703</v>
      </c>
      <c r="M102" s="68"/>
      <c r="N102" s="91"/>
      <c r="O102" s="91"/>
      <c r="P102" s="68">
        <f>+L102+N102-O102</f>
        <v>6703</v>
      </c>
      <c r="Q102" s="68"/>
      <c r="R102" s="91"/>
      <c r="S102" s="91"/>
      <c r="T102" s="68">
        <f>+P102+R102-S102</f>
        <v>6703</v>
      </c>
      <c r="U102" s="68"/>
      <c r="V102" s="91"/>
      <c r="W102" s="91"/>
      <c r="X102" s="68">
        <f>+T102+V102-W102</f>
        <v>6703</v>
      </c>
      <c r="Y102" s="68"/>
      <c r="Z102" s="91"/>
      <c r="AA102" s="91"/>
      <c r="AB102" s="68">
        <f>+X102+Z102-AA102</f>
        <v>6703</v>
      </c>
      <c r="AC102" s="68"/>
      <c r="AD102" s="91"/>
      <c r="AE102" s="91"/>
      <c r="AF102" s="68">
        <f>+AB102+AD102-AE102</f>
        <v>6703</v>
      </c>
      <c r="AG102" s="68"/>
      <c r="AH102" s="91"/>
      <c r="AI102" s="91"/>
      <c r="AJ102" s="68">
        <f>+AF102+AH102-AI102</f>
        <v>6703</v>
      </c>
      <c r="AK102" s="68"/>
      <c r="AL102" s="91"/>
      <c r="AM102" s="91"/>
      <c r="AN102" s="68">
        <f>+AJ102+AL102-AM102</f>
        <v>6703</v>
      </c>
      <c r="AO102" s="68"/>
      <c r="AP102" s="91"/>
      <c r="AQ102" s="91"/>
      <c r="AR102" s="68">
        <f>+AN102+AP102-AQ102</f>
        <v>6703</v>
      </c>
      <c r="AS102" s="68">
        <f>+AO102+AQ102-AP102</f>
        <v>0</v>
      </c>
      <c r="AT102" s="91"/>
      <c r="AU102" s="91"/>
      <c r="AV102" s="68">
        <f>+AR102+AT102-AU102</f>
        <v>6703</v>
      </c>
      <c r="AW102" s="68"/>
      <c r="AX102" s="91"/>
      <c r="AY102" s="91"/>
      <c r="AZ102" s="152">
        <v>213080</v>
      </c>
      <c r="BA102" s="152"/>
      <c r="BB102" s="91"/>
      <c r="BC102" s="91"/>
      <c r="BD102" s="68">
        <f>+AZ102+BB102-BC102</f>
        <v>213080</v>
      </c>
      <c r="BE102" s="68"/>
      <c r="BF102" s="91"/>
      <c r="BG102" s="91"/>
      <c r="BH102" s="68">
        <f>+BD102+BF102-BG102</f>
        <v>213080</v>
      </c>
      <c r="BI102" s="68"/>
      <c r="BJ102" s="91"/>
      <c r="BK102" s="91"/>
      <c r="BL102" s="68">
        <f>+BH102+BJ102-BK102</f>
        <v>213080</v>
      </c>
      <c r="BM102" s="68"/>
      <c r="BN102" s="91"/>
      <c r="BO102" s="91"/>
      <c r="BP102" s="68">
        <f>+BL102+BN102-BO102</f>
        <v>213080</v>
      </c>
      <c r="BQ102" s="68"/>
      <c r="BR102" s="91"/>
      <c r="BS102" s="91"/>
      <c r="BT102" s="68">
        <f>BP102+BR102-BS102</f>
        <v>213080</v>
      </c>
      <c r="BU102" s="68"/>
      <c r="BV102" s="91"/>
      <c r="BW102" s="91"/>
      <c r="BX102" s="68">
        <f>BT102+BV102-BW102</f>
        <v>213080</v>
      </c>
      <c r="BY102" s="68"/>
      <c r="BZ102" s="91"/>
      <c r="CA102" s="91"/>
      <c r="CB102" s="68">
        <f>BX102+BZ102-CA102</f>
        <v>213080</v>
      </c>
      <c r="CC102" s="68"/>
      <c r="CD102" s="91"/>
      <c r="CE102" s="91"/>
      <c r="CF102" s="68">
        <f>CB102+CD102-CE102</f>
        <v>213080</v>
      </c>
      <c r="CG102" s="68"/>
      <c r="CH102" s="91"/>
      <c r="CI102" s="91"/>
      <c r="CJ102" s="68">
        <f>CF102+CH102-CI102</f>
        <v>213080</v>
      </c>
      <c r="CK102" s="68"/>
      <c r="CL102" s="91"/>
      <c r="CM102" s="91"/>
      <c r="CN102" s="68">
        <f>CJ102+CL102-CM102</f>
        <v>213080</v>
      </c>
      <c r="CO102" s="68"/>
      <c r="CP102" s="91"/>
      <c r="CQ102" s="91"/>
      <c r="CR102" s="68">
        <f>CN102+CP102-CQ102</f>
        <v>213080</v>
      </c>
      <c r="CS102" s="68"/>
      <c r="CT102" s="91"/>
      <c r="CU102" s="91"/>
      <c r="CV102" s="68">
        <f>CR102+CT102-CU102</f>
        <v>213080</v>
      </c>
      <c r="CW102" s="68"/>
    </row>
    <row r="103" spans="1:101" x14ac:dyDescent="0.5">
      <c r="A103" s="67">
        <v>98</v>
      </c>
      <c r="B103" s="81" t="s">
        <v>11</v>
      </c>
      <c r="C103" s="67"/>
      <c r="D103" s="68">
        <f>+'กระดาษทำการ 30 เม.ย.58'!BP94</f>
        <v>0</v>
      </c>
      <c r="E103" s="68">
        <f>+'กระดาษทำการ 30 เม.ย.58'!BQ94</f>
        <v>0</v>
      </c>
      <c r="F103" s="91"/>
      <c r="G103" s="91"/>
      <c r="H103" s="68">
        <f>+D103+F103-G103</f>
        <v>0</v>
      </c>
      <c r="I103" s="68"/>
      <c r="J103" s="91"/>
      <c r="K103" s="91"/>
      <c r="L103" s="68">
        <f>+H103+J103-K103</f>
        <v>0</v>
      </c>
      <c r="M103" s="68"/>
      <c r="N103" s="91"/>
      <c r="O103" s="91"/>
      <c r="P103" s="68">
        <f>+L103+N103-O103</f>
        <v>0</v>
      </c>
      <c r="Q103" s="68"/>
      <c r="R103" s="91"/>
      <c r="S103" s="91"/>
      <c r="T103" s="68">
        <f>+P103+R103-S103</f>
        <v>0</v>
      </c>
      <c r="U103" s="68"/>
      <c r="V103" s="91"/>
      <c r="W103" s="91"/>
      <c r="X103" s="68">
        <f>+T103+V103-W103</f>
        <v>0</v>
      </c>
      <c r="Y103" s="68"/>
      <c r="Z103" s="91"/>
      <c r="AA103" s="91"/>
      <c r="AB103" s="68">
        <f>+X103+Z103-AA103</f>
        <v>0</v>
      </c>
      <c r="AC103" s="68"/>
      <c r="AD103" s="91"/>
      <c r="AE103" s="91"/>
      <c r="AF103" s="68">
        <f>+AB103+AD103-AE103</f>
        <v>0</v>
      </c>
      <c r="AG103" s="68"/>
      <c r="AH103" s="91"/>
      <c r="AI103" s="91"/>
      <c r="AJ103" s="68">
        <f>+AF103+AH103-AI103</f>
        <v>0</v>
      </c>
      <c r="AK103" s="68"/>
      <c r="AL103" s="91"/>
      <c r="AM103" s="91"/>
      <c r="AN103" s="68">
        <f>+AJ103+AL103-AM103</f>
        <v>0</v>
      </c>
      <c r="AO103" s="68"/>
      <c r="AP103" s="91"/>
      <c r="AQ103" s="91"/>
      <c r="AR103" s="68">
        <f>+AN103+AP103-AQ103</f>
        <v>0</v>
      </c>
      <c r="AS103" s="68">
        <f>+AO103+AQ103-AP103</f>
        <v>0</v>
      </c>
      <c r="AT103" s="91"/>
      <c r="AU103" s="91"/>
      <c r="AV103" s="68">
        <f>+AR103+AT103-AU103</f>
        <v>0</v>
      </c>
      <c r="AW103" s="68"/>
      <c r="AX103" s="91"/>
      <c r="AY103" s="91"/>
      <c r="AZ103" s="152"/>
      <c r="BA103" s="152"/>
      <c r="BB103" s="91"/>
      <c r="BC103" s="91"/>
      <c r="BD103" s="68">
        <f>+AZ103+BB103-BC103</f>
        <v>0</v>
      </c>
      <c r="BE103" s="68"/>
      <c r="BF103" s="91"/>
      <c r="BG103" s="91"/>
      <c r="BH103" s="68">
        <f>+BD103+BF103-BG103</f>
        <v>0</v>
      </c>
      <c r="BI103" s="68"/>
      <c r="BJ103" s="91"/>
      <c r="BK103" s="91"/>
      <c r="BL103" s="68">
        <f>+BH103+BJ103-BK103</f>
        <v>0</v>
      </c>
      <c r="BM103" s="68"/>
      <c r="BN103" s="91"/>
      <c r="BO103" s="91"/>
      <c r="BP103" s="68">
        <f>+BL103+BN103-BO103</f>
        <v>0</v>
      </c>
      <c r="BQ103" s="68"/>
      <c r="BR103" s="91"/>
      <c r="BS103" s="91"/>
      <c r="BT103" s="68">
        <f>+BP103+BR103-BS103</f>
        <v>0</v>
      </c>
      <c r="BU103" s="68"/>
      <c r="BV103" s="91"/>
      <c r="BW103" s="91"/>
      <c r="BX103" s="68">
        <f>+BT103+BV103-BW103</f>
        <v>0</v>
      </c>
      <c r="BY103" s="68"/>
      <c r="BZ103" s="91"/>
      <c r="CA103" s="91"/>
      <c r="CB103" s="68">
        <f>+BX103+BZ103-CA103</f>
        <v>0</v>
      </c>
      <c r="CC103" s="68"/>
      <c r="CD103" s="91"/>
      <c r="CE103" s="91"/>
      <c r="CF103" s="68">
        <f>+CB103+CD103-CE103</f>
        <v>0</v>
      </c>
      <c r="CG103" s="68"/>
      <c r="CH103" s="91"/>
      <c r="CI103" s="91"/>
      <c r="CJ103" s="68">
        <f>+CF103+CH103-CI103</f>
        <v>0</v>
      </c>
      <c r="CK103" s="68"/>
      <c r="CL103" s="91"/>
      <c r="CM103" s="91"/>
      <c r="CN103" s="68">
        <f>+CJ103+CL103-CM103</f>
        <v>0</v>
      </c>
      <c r="CO103" s="68"/>
      <c r="CP103" s="91"/>
      <c r="CQ103" s="91"/>
      <c r="CR103" s="68">
        <f>+CN103+CP103-CQ103</f>
        <v>0</v>
      </c>
      <c r="CS103" s="68"/>
      <c r="CT103" s="91"/>
      <c r="CU103" s="91"/>
      <c r="CV103" s="68">
        <f>+CR103+CT103-CU103</f>
        <v>0</v>
      </c>
      <c r="CW103" s="68"/>
    </row>
    <row r="104" spans="1:101" x14ac:dyDescent="0.5">
      <c r="A104" s="67">
        <v>99</v>
      </c>
      <c r="B104" s="81" t="s">
        <v>189</v>
      </c>
      <c r="C104" s="67"/>
      <c r="D104" s="68">
        <f>+'กระดาษทำการ 30 เม.ย.58'!BP95</f>
        <v>0</v>
      </c>
      <c r="E104" s="68">
        <v>149492.67000000001</v>
      </c>
      <c r="F104" s="91"/>
      <c r="G104" s="91"/>
      <c r="H104" s="68">
        <f>+D104+F104-G104</f>
        <v>0</v>
      </c>
      <c r="I104" s="68">
        <f>+E104</f>
        <v>149492.67000000001</v>
      </c>
      <c r="J104" s="91"/>
      <c r="K104" s="91"/>
      <c r="L104" s="68"/>
      <c r="M104" s="68">
        <f>+I104</f>
        <v>149492.67000000001</v>
      </c>
      <c r="N104" s="91"/>
      <c r="O104" s="91"/>
      <c r="P104" s="68">
        <f>+L104+N104-O104</f>
        <v>0</v>
      </c>
      <c r="Q104" s="68">
        <f>+M104+O104-N104</f>
        <v>149492.67000000001</v>
      </c>
      <c r="R104" s="91"/>
      <c r="S104" s="91"/>
      <c r="T104" s="68">
        <f>+P104+R104-S104</f>
        <v>0</v>
      </c>
      <c r="U104" s="68">
        <f>+Q104+S104-R104</f>
        <v>149492.67000000001</v>
      </c>
      <c r="V104" s="91"/>
      <c r="W104" s="91"/>
      <c r="X104" s="68">
        <f>+T104+V104-W104</f>
        <v>0</v>
      </c>
      <c r="Y104" s="68">
        <f>+U104+W104-V104</f>
        <v>149492.67000000001</v>
      </c>
      <c r="Z104" s="91"/>
      <c r="AA104" s="91"/>
      <c r="AB104" s="68"/>
      <c r="AC104" s="68">
        <f>+Y104+AA104-Z104</f>
        <v>149492.67000000001</v>
      </c>
      <c r="AD104" s="91"/>
      <c r="AE104" s="91"/>
      <c r="AF104" s="68"/>
      <c r="AG104" s="68">
        <f>+AC104</f>
        <v>149492.67000000001</v>
      </c>
      <c r="AH104" s="91"/>
      <c r="AI104" s="91"/>
      <c r="AJ104" s="68">
        <f>+AF104+AH104-AI104</f>
        <v>0</v>
      </c>
      <c r="AK104" s="68">
        <f>+AG104+AI104-AH104</f>
        <v>149492.67000000001</v>
      </c>
      <c r="AL104" s="91"/>
      <c r="AM104" s="91"/>
      <c r="AN104" s="68"/>
      <c r="AO104" s="68">
        <f>+AK104</f>
        <v>149492.67000000001</v>
      </c>
      <c r="AP104" s="91"/>
      <c r="AQ104" s="91"/>
      <c r="AR104" s="68">
        <f>+AN104+AP104-AQ104</f>
        <v>0</v>
      </c>
      <c r="AS104" s="68">
        <f>+AO104+AQ104-AP104</f>
        <v>149492.67000000001</v>
      </c>
      <c r="AT104" s="91"/>
      <c r="AU104" s="91"/>
      <c r="AV104" s="68">
        <f>+AR104+AT104-AU104</f>
        <v>0</v>
      </c>
      <c r="AW104" s="68">
        <f>+AS104</f>
        <v>149492.67000000001</v>
      </c>
      <c r="AX104" s="91"/>
      <c r="AY104" s="91"/>
      <c r="AZ104" s="152"/>
      <c r="BA104" s="152">
        <v>13385.46</v>
      </c>
      <c r="BB104" s="91"/>
      <c r="BC104" s="91"/>
      <c r="BD104" s="68"/>
      <c r="BE104" s="68">
        <f>+BA104</f>
        <v>13385.46</v>
      </c>
      <c r="BF104" s="91"/>
      <c r="BG104" s="91"/>
      <c r="BH104" s="68"/>
      <c r="BI104" s="68">
        <f>+BE104</f>
        <v>13385.46</v>
      </c>
      <c r="BJ104" s="91"/>
      <c r="BK104" s="91"/>
      <c r="BL104" s="68"/>
      <c r="BM104" s="68">
        <f>+BI104</f>
        <v>13385.46</v>
      </c>
      <c r="BN104" s="91"/>
      <c r="BO104" s="91"/>
      <c r="BP104" s="68"/>
      <c r="BQ104" s="68">
        <f>+BM104</f>
        <v>13385.46</v>
      </c>
      <c r="BR104" s="91"/>
      <c r="BS104" s="91"/>
      <c r="BT104" s="68"/>
      <c r="BU104" s="68">
        <f>+BQ104</f>
        <v>13385.46</v>
      </c>
      <c r="BV104" s="91"/>
      <c r="BW104" s="91"/>
      <c r="BX104" s="68"/>
      <c r="BY104" s="68">
        <f>+BU104</f>
        <v>13385.46</v>
      </c>
      <c r="BZ104" s="91"/>
      <c r="CA104" s="91"/>
      <c r="CB104" s="68"/>
      <c r="CC104" s="68">
        <f>+BY104</f>
        <v>13385.46</v>
      </c>
      <c r="CD104" s="91"/>
      <c r="CE104" s="91"/>
      <c r="CF104" s="68"/>
      <c r="CG104" s="68">
        <f>+CC104</f>
        <v>13385.46</v>
      </c>
      <c r="CH104" s="91"/>
      <c r="CI104" s="91"/>
      <c r="CJ104" s="68"/>
      <c r="CK104" s="68">
        <f>+CG104</f>
        <v>13385.46</v>
      </c>
      <c r="CL104" s="91"/>
      <c r="CM104" s="91"/>
      <c r="CN104" s="68"/>
      <c r="CO104" s="68">
        <f>+CK104</f>
        <v>13385.46</v>
      </c>
      <c r="CP104" s="91"/>
      <c r="CQ104" s="91"/>
      <c r="CR104" s="68"/>
      <c r="CS104" s="68">
        <f>+CO104</f>
        <v>13385.46</v>
      </c>
      <c r="CT104" s="91"/>
      <c r="CU104" s="91">
        <v>13385.46</v>
      </c>
      <c r="CV104" s="68"/>
      <c r="CW104" s="68"/>
    </row>
    <row r="105" spans="1:101" s="57" customFormat="1" x14ac:dyDescent="0.5">
      <c r="A105" s="59"/>
      <c r="B105" s="159" t="s">
        <v>192</v>
      </c>
      <c r="C105" s="58"/>
      <c r="D105" s="148">
        <f t="shared" ref="D105:AI105" si="158">SUM(D7:D104)</f>
        <v>8071835.1899999995</v>
      </c>
      <c r="E105" s="148">
        <f t="shared" si="158"/>
        <v>8079872.1899999995</v>
      </c>
      <c r="F105" s="149">
        <f t="shared" si="158"/>
        <v>654637</v>
      </c>
      <c r="G105" s="149">
        <f t="shared" si="158"/>
        <v>654637</v>
      </c>
      <c r="H105" s="148">
        <f t="shared" si="158"/>
        <v>8080930.1899999995</v>
      </c>
      <c r="I105" s="148">
        <f t="shared" si="158"/>
        <v>8088967.1899999995</v>
      </c>
      <c r="J105" s="149">
        <f t="shared" si="158"/>
        <v>180447.48</v>
      </c>
      <c r="K105" s="149">
        <f t="shared" si="158"/>
        <v>180447.47999999998</v>
      </c>
      <c r="L105" s="148">
        <f t="shared" si="158"/>
        <v>8136496.3699999992</v>
      </c>
      <c r="M105" s="148">
        <f t="shared" si="158"/>
        <v>8151236.3700000001</v>
      </c>
      <c r="N105" s="149">
        <f t="shared" si="158"/>
        <v>736956.62999999989</v>
      </c>
      <c r="O105" s="149">
        <f t="shared" si="158"/>
        <v>736956.62999999989</v>
      </c>
      <c r="P105" s="148">
        <f t="shared" si="158"/>
        <v>8242743.6199999992</v>
      </c>
      <c r="Q105" s="148">
        <f t="shared" si="158"/>
        <v>8257483.6199999992</v>
      </c>
      <c r="R105" s="149">
        <f t="shared" si="158"/>
        <v>70243</v>
      </c>
      <c r="S105" s="149">
        <f t="shared" si="158"/>
        <v>70093</v>
      </c>
      <c r="T105" s="148">
        <f t="shared" si="158"/>
        <v>8256933.6199999992</v>
      </c>
      <c r="U105" s="148">
        <f t="shared" si="158"/>
        <v>8271523.6199999992</v>
      </c>
      <c r="V105" s="149">
        <f t="shared" si="158"/>
        <v>27140.879999999997</v>
      </c>
      <c r="W105" s="149">
        <f t="shared" si="158"/>
        <v>27140.880000000001</v>
      </c>
      <c r="X105" s="148">
        <f t="shared" si="158"/>
        <v>8272087.4999999991</v>
      </c>
      <c r="Y105" s="148">
        <f t="shared" si="158"/>
        <v>8286677.4999999991</v>
      </c>
      <c r="Z105" s="149">
        <f t="shared" si="158"/>
        <v>401242.81000000006</v>
      </c>
      <c r="AA105" s="149">
        <f t="shared" si="158"/>
        <v>401242.81</v>
      </c>
      <c r="AB105" s="148">
        <f t="shared" si="158"/>
        <v>8305269.4699999988</v>
      </c>
      <c r="AC105" s="148">
        <f t="shared" si="158"/>
        <v>8320009.4699999997</v>
      </c>
      <c r="AD105" s="149">
        <f t="shared" si="158"/>
        <v>206643.14</v>
      </c>
      <c r="AE105" s="149">
        <f t="shared" si="158"/>
        <v>217843.13999999998</v>
      </c>
      <c r="AF105" s="148">
        <f t="shared" si="158"/>
        <v>8346119.1599999992</v>
      </c>
      <c r="AG105" s="148">
        <f t="shared" si="158"/>
        <v>8372059.1600000001</v>
      </c>
      <c r="AH105" s="149">
        <f t="shared" si="158"/>
        <v>115436.69</v>
      </c>
      <c r="AI105" s="149">
        <f t="shared" si="158"/>
        <v>115436.69</v>
      </c>
      <c r="AJ105" s="148">
        <f t="shared" ref="AJ105:BO105" si="159">SUM(AJ7:AJ104)</f>
        <v>8376959.1599999992</v>
      </c>
      <c r="AK105" s="148">
        <f t="shared" si="159"/>
        <v>8402899.1600000001</v>
      </c>
      <c r="AL105" s="149">
        <f t="shared" si="159"/>
        <v>1716650.67</v>
      </c>
      <c r="AM105" s="149">
        <f t="shared" si="159"/>
        <v>1716650.67</v>
      </c>
      <c r="AN105" s="148">
        <f t="shared" si="159"/>
        <v>8452965.339999998</v>
      </c>
      <c r="AO105" s="148">
        <f t="shared" si="159"/>
        <v>8478905.3399999999</v>
      </c>
      <c r="AP105" s="149">
        <f t="shared" si="159"/>
        <v>1190178.1000000001</v>
      </c>
      <c r="AQ105" s="149">
        <f t="shared" si="159"/>
        <v>1190178.0999999999</v>
      </c>
      <c r="AR105" s="148">
        <f t="shared" si="159"/>
        <v>8569502.4999999981</v>
      </c>
      <c r="AS105" s="148">
        <f t="shared" si="159"/>
        <v>8595442.5</v>
      </c>
      <c r="AT105" s="149">
        <f t="shared" si="159"/>
        <v>1644359.34</v>
      </c>
      <c r="AU105" s="149">
        <f t="shared" si="159"/>
        <v>1644359.3399999999</v>
      </c>
      <c r="AV105" s="148">
        <f t="shared" si="159"/>
        <v>8655019.2199999969</v>
      </c>
      <c r="AW105" s="148">
        <f t="shared" si="159"/>
        <v>8680959.2200000007</v>
      </c>
      <c r="AX105" s="149">
        <f t="shared" si="159"/>
        <v>2391767.04</v>
      </c>
      <c r="AY105" s="149">
        <f t="shared" si="159"/>
        <v>2391767.04</v>
      </c>
      <c r="AZ105" s="154">
        <f t="shared" si="159"/>
        <v>8611657.8000000007</v>
      </c>
      <c r="BA105" s="154">
        <f t="shared" si="159"/>
        <v>8611657.8000000007</v>
      </c>
      <c r="BB105" s="149">
        <f t="shared" si="159"/>
        <v>184068.34000000003</v>
      </c>
      <c r="BC105" s="149">
        <f t="shared" si="159"/>
        <v>184068.34000000003</v>
      </c>
      <c r="BD105" s="148">
        <f t="shared" si="159"/>
        <v>8613794.3000000007</v>
      </c>
      <c r="BE105" s="148">
        <f t="shared" si="159"/>
        <v>8613794.2999999989</v>
      </c>
      <c r="BF105" s="149">
        <f t="shared" si="159"/>
        <v>85877.86</v>
      </c>
      <c r="BG105" s="149">
        <f t="shared" si="159"/>
        <v>85877.859999999986</v>
      </c>
      <c r="BH105" s="148">
        <f t="shared" si="159"/>
        <v>8614463.2300000004</v>
      </c>
      <c r="BI105" s="148">
        <f t="shared" si="159"/>
        <v>8614463.2299999986</v>
      </c>
      <c r="BJ105" s="149">
        <f t="shared" si="159"/>
        <v>183330</v>
      </c>
      <c r="BK105" s="149">
        <f t="shared" si="159"/>
        <v>183330</v>
      </c>
      <c r="BL105" s="148">
        <f t="shared" si="159"/>
        <v>8670863.2300000004</v>
      </c>
      <c r="BM105" s="148">
        <f t="shared" si="159"/>
        <v>8670863.2299999986</v>
      </c>
      <c r="BN105" s="149">
        <f t="shared" si="159"/>
        <v>686247.38</v>
      </c>
      <c r="BO105" s="149">
        <f t="shared" si="159"/>
        <v>686247.38</v>
      </c>
      <c r="BP105" s="148">
        <f t="shared" ref="BP105:CU105" si="160">SUM(BP7:BP104)</f>
        <v>8701070.5599999987</v>
      </c>
      <c r="BQ105" s="148">
        <f t="shared" si="160"/>
        <v>8701070.5599999987</v>
      </c>
      <c r="BR105" s="149">
        <f t="shared" si="160"/>
        <v>83478.48</v>
      </c>
      <c r="BS105" s="149">
        <f t="shared" si="160"/>
        <v>83478.48000000001</v>
      </c>
      <c r="BT105" s="148">
        <f t="shared" si="160"/>
        <v>8705319.8800000008</v>
      </c>
      <c r="BU105" s="148">
        <f t="shared" si="160"/>
        <v>8705319.879999999</v>
      </c>
      <c r="BV105" s="149">
        <f t="shared" si="160"/>
        <v>131950.49</v>
      </c>
      <c r="BW105" s="149">
        <f t="shared" si="160"/>
        <v>131950.49</v>
      </c>
      <c r="BX105" s="148">
        <f t="shared" si="160"/>
        <v>8716208.0300000012</v>
      </c>
      <c r="BY105" s="148">
        <f t="shared" si="160"/>
        <v>8716208.0299999993</v>
      </c>
      <c r="BZ105" s="149">
        <f t="shared" si="160"/>
        <v>252600.12</v>
      </c>
      <c r="CA105" s="149">
        <f t="shared" si="160"/>
        <v>252600.12</v>
      </c>
      <c r="CB105" s="148">
        <f t="shared" si="160"/>
        <v>8738979.4699999988</v>
      </c>
      <c r="CC105" s="148">
        <f t="shared" si="160"/>
        <v>8738979.4699999969</v>
      </c>
      <c r="CD105" s="149">
        <f t="shared" si="160"/>
        <v>188614.08</v>
      </c>
      <c r="CE105" s="149">
        <f t="shared" si="160"/>
        <v>188614.08000000002</v>
      </c>
      <c r="CF105" s="148">
        <f t="shared" si="160"/>
        <v>8758171.1000000015</v>
      </c>
      <c r="CG105" s="148">
        <f t="shared" si="160"/>
        <v>8758171.1000000015</v>
      </c>
      <c r="CH105" s="149">
        <f t="shared" si="160"/>
        <v>874816.87</v>
      </c>
      <c r="CI105" s="149">
        <f t="shared" si="160"/>
        <v>874816.87</v>
      </c>
      <c r="CJ105" s="148">
        <f t="shared" si="160"/>
        <v>8813154.120000001</v>
      </c>
      <c r="CK105" s="148">
        <f t="shared" si="160"/>
        <v>8813154.120000001</v>
      </c>
      <c r="CL105" s="149">
        <f t="shared" si="160"/>
        <v>1818780.44</v>
      </c>
      <c r="CM105" s="149">
        <f t="shared" si="160"/>
        <v>1818780.44</v>
      </c>
      <c r="CN105" s="148">
        <f t="shared" si="160"/>
        <v>8920578.6699999999</v>
      </c>
      <c r="CO105" s="148">
        <f t="shared" si="160"/>
        <v>8920578.6699999999</v>
      </c>
      <c r="CP105" s="149">
        <f t="shared" si="160"/>
        <v>2070673.3599999999</v>
      </c>
      <c r="CQ105" s="149">
        <f t="shared" si="160"/>
        <v>2070673.36</v>
      </c>
      <c r="CR105" s="148">
        <f t="shared" si="160"/>
        <v>9019000.1799999997</v>
      </c>
      <c r="CS105" s="148">
        <f t="shared" si="160"/>
        <v>9019000.1799999978</v>
      </c>
      <c r="CT105" s="149">
        <f t="shared" si="160"/>
        <v>2440524.92</v>
      </c>
      <c r="CU105" s="149">
        <f t="shared" si="160"/>
        <v>2467295.8399999994</v>
      </c>
      <c r="CV105" s="148">
        <f t="shared" ref="CV105:CW105" si="161">SUM(CV7:CV104)</f>
        <v>9126040.5300000012</v>
      </c>
      <c r="CW105" s="148">
        <f t="shared" si="161"/>
        <v>9126040.5300000012</v>
      </c>
    </row>
    <row r="106" spans="1:101" x14ac:dyDescent="0.5">
      <c r="BH106" s="112"/>
      <c r="BI106" s="113"/>
      <c r="BL106" s="112"/>
      <c r="BM106" s="113"/>
      <c r="BP106" s="112"/>
      <c r="BQ106" s="113"/>
      <c r="BT106" s="112"/>
      <c r="BU106" s="113"/>
      <c r="BX106" s="112"/>
      <c r="BY106" s="113"/>
      <c r="CB106" s="112"/>
      <c r="CC106" s="113"/>
      <c r="CF106" s="112"/>
      <c r="CG106" s="113"/>
      <c r="CJ106" s="112"/>
      <c r="CK106" s="113"/>
      <c r="CN106" s="112"/>
      <c r="CO106" s="113"/>
      <c r="CR106" s="112"/>
      <c r="CS106" s="113"/>
      <c r="CV106" s="112"/>
      <c r="CW106" s="113"/>
    </row>
    <row r="107" spans="1:101" ht="24" x14ac:dyDescent="0.55000000000000004">
      <c r="BH107" s="140"/>
      <c r="BI107" s="140"/>
      <c r="BL107" s="140"/>
      <c r="BM107" s="140"/>
      <c r="BP107" s="140"/>
      <c r="BQ107" s="140"/>
      <c r="BT107" s="140"/>
      <c r="BU107" s="140"/>
      <c r="BX107" s="146"/>
      <c r="BY107" s="146"/>
      <c r="CB107" s="150"/>
      <c r="CC107" s="150"/>
      <c r="CF107" s="158"/>
      <c r="CG107" s="158"/>
      <c r="CJ107" s="160"/>
      <c r="CK107" s="160"/>
      <c r="CN107" s="162"/>
      <c r="CO107" s="162"/>
      <c r="CR107" s="194"/>
      <c r="CS107" s="194"/>
      <c r="CV107" s="194"/>
      <c r="CW107" s="194"/>
    </row>
    <row r="108" spans="1:101" ht="24" x14ac:dyDescent="0.55000000000000004">
      <c r="BH108" s="140"/>
      <c r="BI108" s="140"/>
      <c r="BL108" s="140"/>
      <c r="BM108" s="140"/>
      <c r="BP108" s="140"/>
      <c r="BQ108" s="140"/>
      <c r="BT108" s="140"/>
      <c r="BU108" s="140"/>
      <c r="BX108" s="146"/>
      <c r="BY108" s="146"/>
      <c r="CB108" s="150"/>
      <c r="CC108" s="150"/>
      <c r="CF108" s="158"/>
      <c r="CG108" s="158"/>
      <c r="CJ108" s="160"/>
      <c r="CK108" s="160"/>
      <c r="CN108" s="162"/>
      <c r="CO108" s="162"/>
      <c r="CR108" s="194"/>
      <c r="CS108" s="194"/>
      <c r="CV108" s="194"/>
      <c r="CW108" s="194"/>
    </row>
    <row r="109" spans="1:101" ht="24" x14ac:dyDescent="0.55000000000000004">
      <c r="BH109" s="140"/>
      <c r="BI109" s="140"/>
      <c r="BL109" s="140"/>
      <c r="BM109" s="140"/>
      <c r="BP109" s="140"/>
      <c r="BQ109" s="140"/>
      <c r="BT109" s="140"/>
      <c r="BU109" s="140"/>
      <c r="BX109" s="146"/>
      <c r="BY109" s="146"/>
      <c r="CB109" s="150"/>
      <c r="CC109" s="150"/>
      <c r="CF109" s="158"/>
      <c r="CG109" s="158"/>
      <c r="CJ109" s="160"/>
      <c r="CK109" s="160"/>
      <c r="CN109" s="162"/>
      <c r="CO109" s="162"/>
      <c r="CR109" s="194"/>
      <c r="CS109" s="194"/>
      <c r="CV109" s="194"/>
      <c r="CW109" s="194"/>
    </row>
    <row r="110" spans="1:101" x14ac:dyDescent="0.5">
      <c r="BH110" s="16"/>
      <c r="BI110" s="16"/>
      <c r="BL110" s="16"/>
      <c r="BM110" s="16"/>
      <c r="BP110" s="16"/>
      <c r="BQ110" s="16"/>
      <c r="BT110" s="16"/>
      <c r="BU110" s="16"/>
      <c r="BX110" s="16"/>
      <c r="BY110" s="16"/>
      <c r="CB110" s="16"/>
      <c r="CC110" s="16"/>
      <c r="CF110" s="16"/>
      <c r="CG110" s="16"/>
      <c r="CJ110" s="16"/>
      <c r="CK110" s="16"/>
      <c r="CN110" s="16"/>
      <c r="CO110" s="16"/>
      <c r="CR110" s="16"/>
      <c r="CS110" s="16"/>
      <c r="CV110" s="16"/>
      <c r="CW110" s="16"/>
    </row>
    <row r="111" spans="1:101" x14ac:dyDescent="0.5">
      <c r="BH111" s="13"/>
      <c r="BI111" s="13"/>
      <c r="BL111" s="13"/>
      <c r="BM111" s="13"/>
      <c r="BP111" s="13"/>
      <c r="BQ111" s="13"/>
      <c r="BT111" s="13"/>
      <c r="BU111" s="13"/>
      <c r="BX111" s="13"/>
      <c r="BY111" s="13"/>
      <c r="CB111" s="13"/>
      <c r="CC111" s="13"/>
      <c r="CF111" s="13"/>
      <c r="CG111" s="13"/>
      <c r="CJ111" s="13"/>
      <c r="CK111" s="13"/>
      <c r="CN111" s="13"/>
      <c r="CO111" s="13"/>
      <c r="CR111" s="13"/>
      <c r="CS111" s="13"/>
      <c r="CV111" s="13"/>
      <c r="CW111" s="13"/>
    </row>
    <row r="112" spans="1:101" x14ac:dyDescent="0.5">
      <c r="BH112" s="13"/>
      <c r="BI112" s="13"/>
      <c r="BL112" s="13"/>
      <c r="BM112" s="13"/>
      <c r="BP112" s="13"/>
      <c r="BQ112" s="13"/>
      <c r="BT112" s="13"/>
      <c r="BU112" s="13"/>
      <c r="BX112" s="13"/>
      <c r="BY112" s="13"/>
      <c r="CB112" s="13"/>
      <c r="CC112" s="13"/>
      <c r="CF112" s="13"/>
      <c r="CG112" s="13"/>
      <c r="CJ112" s="13"/>
      <c r="CK112" s="13"/>
      <c r="CN112" s="13"/>
      <c r="CO112" s="13"/>
      <c r="CR112" s="13"/>
      <c r="CS112" s="13"/>
      <c r="CV112" s="13"/>
      <c r="CW112" s="13"/>
    </row>
    <row r="113" spans="60:101" x14ac:dyDescent="0.5">
      <c r="BH113" s="13"/>
      <c r="BI113" s="13"/>
      <c r="BL113" s="13"/>
      <c r="BM113" s="13"/>
      <c r="BP113" s="13"/>
      <c r="BQ113" s="13"/>
      <c r="BT113" s="13"/>
      <c r="BU113" s="13"/>
      <c r="BX113" s="13"/>
      <c r="BY113" s="13"/>
      <c r="CB113" s="13"/>
      <c r="CC113" s="13"/>
      <c r="CF113" s="13"/>
      <c r="CG113" s="13"/>
      <c r="CJ113" s="13"/>
      <c r="CK113" s="13"/>
      <c r="CN113" s="13"/>
      <c r="CO113" s="13"/>
      <c r="CR113" s="13"/>
      <c r="CS113" s="13"/>
      <c r="CV113" s="13"/>
      <c r="CW113" s="13"/>
    </row>
    <row r="114" spans="60:101" x14ac:dyDescent="0.5">
      <c r="BH114" s="13"/>
      <c r="BI114" s="13"/>
      <c r="BL114" s="13"/>
      <c r="BM114" s="13"/>
      <c r="BP114" s="13"/>
      <c r="BQ114" s="13"/>
      <c r="BT114" s="13"/>
      <c r="BU114" s="13"/>
      <c r="BX114" s="13"/>
      <c r="BY114" s="13"/>
      <c r="CB114" s="13"/>
      <c r="CC114" s="13"/>
      <c r="CF114" s="13"/>
      <c r="CG114" s="13"/>
      <c r="CJ114" s="13"/>
      <c r="CK114" s="13"/>
      <c r="CN114" s="13"/>
      <c r="CO114" s="13"/>
      <c r="CR114" s="13"/>
      <c r="CS114" s="13"/>
      <c r="CV114" s="13"/>
      <c r="CW114" s="13"/>
    </row>
    <row r="115" spans="60:101" x14ac:dyDescent="0.5">
      <c r="BH115" s="13"/>
      <c r="BI115" s="13"/>
      <c r="BL115" s="13"/>
      <c r="BM115" s="13"/>
      <c r="BP115" s="13"/>
      <c r="BQ115" s="13"/>
      <c r="BT115" s="13"/>
      <c r="BU115" s="13"/>
      <c r="BX115" s="13"/>
      <c r="BY115" s="13"/>
      <c r="CB115" s="13"/>
      <c r="CC115" s="13"/>
      <c r="CF115" s="13"/>
      <c r="CG115" s="13"/>
      <c r="CJ115" s="13"/>
      <c r="CK115" s="13"/>
      <c r="CN115" s="13"/>
      <c r="CO115" s="13"/>
      <c r="CR115" s="13"/>
      <c r="CS115" s="13"/>
      <c r="CV115" s="13"/>
      <c r="CW115" s="13"/>
    </row>
    <row r="116" spans="60:101" x14ac:dyDescent="0.5">
      <c r="BH116" s="13"/>
      <c r="BI116" s="13"/>
      <c r="BL116" s="13"/>
      <c r="BM116" s="13"/>
      <c r="BP116" s="13"/>
      <c r="BQ116" s="13"/>
      <c r="BT116" s="13"/>
      <c r="BU116" s="13"/>
      <c r="BX116" s="13"/>
      <c r="BY116" s="13"/>
      <c r="CB116" s="13"/>
      <c r="CC116" s="13"/>
      <c r="CF116" s="13"/>
      <c r="CG116" s="13"/>
      <c r="CJ116" s="13"/>
      <c r="CK116" s="13"/>
      <c r="CN116" s="13"/>
      <c r="CO116" s="13"/>
      <c r="CR116" s="13"/>
      <c r="CS116" s="13"/>
      <c r="CV116" s="13"/>
      <c r="CW116" s="13"/>
    </row>
    <row r="117" spans="60:101" x14ac:dyDescent="0.5">
      <c r="BH117" s="13"/>
      <c r="BI117" s="13"/>
      <c r="BL117" s="13"/>
      <c r="BM117" s="13"/>
      <c r="BP117" s="13"/>
      <c r="BQ117" s="13"/>
      <c r="BT117" s="13"/>
      <c r="BU117" s="13"/>
      <c r="BX117" s="13"/>
      <c r="BY117" s="13"/>
      <c r="CB117" s="13"/>
      <c r="CC117" s="13"/>
      <c r="CF117" s="13"/>
      <c r="CG117" s="13"/>
      <c r="CJ117" s="13"/>
      <c r="CK117" s="13"/>
      <c r="CN117" s="13"/>
      <c r="CO117" s="13"/>
      <c r="CR117" s="13"/>
      <c r="CS117" s="13"/>
      <c r="CV117" s="13"/>
      <c r="CW117" s="13"/>
    </row>
    <row r="118" spans="60:101" x14ac:dyDescent="0.5">
      <c r="BH118" s="13"/>
      <c r="BI118" s="13"/>
      <c r="BL118" s="13"/>
      <c r="BM118" s="13"/>
      <c r="BP118" s="13"/>
      <c r="BQ118" s="13"/>
      <c r="BT118" s="13"/>
      <c r="BU118" s="13"/>
      <c r="BX118" s="13"/>
      <c r="BY118" s="13"/>
      <c r="CB118" s="13"/>
      <c r="CC118" s="13"/>
      <c r="CF118" s="13"/>
      <c r="CG118" s="13"/>
      <c r="CJ118" s="13"/>
      <c r="CK118" s="13"/>
      <c r="CN118" s="13"/>
      <c r="CO118" s="13"/>
      <c r="CR118" s="13"/>
      <c r="CS118" s="13"/>
      <c r="CV118" s="13"/>
      <c r="CW118" s="13"/>
    </row>
    <row r="119" spans="60:101" x14ac:dyDescent="0.5">
      <c r="BH119" s="13"/>
      <c r="BI119" s="13"/>
      <c r="BL119" s="13"/>
      <c r="BM119" s="13"/>
      <c r="BP119" s="13"/>
      <c r="BQ119" s="13"/>
      <c r="BT119" s="13"/>
      <c r="BU119" s="13"/>
      <c r="BX119" s="13"/>
      <c r="BY119" s="13"/>
      <c r="CB119" s="13"/>
      <c r="CC119" s="13"/>
      <c r="CF119" s="13"/>
      <c r="CG119" s="13"/>
      <c r="CJ119" s="13"/>
      <c r="CK119" s="13"/>
      <c r="CN119" s="13"/>
      <c r="CO119" s="13"/>
      <c r="CR119" s="13"/>
      <c r="CS119" s="13"/>
      <c r="CV119" s="13"/>
      <c r="CW119" s="13"/>
    </row>
    <row r="120" spans="60:101" x14ac:dyDescent="0.5">
      <c r="BH120" s="13"/>
      <c r="BI120" s="13"/>
      <c r="BL120" s="13"/>
      <c r="BM120" s="13"/>
      <c r="BP120" s="13"/>
      <c r="BQ120" s="13"/>
      <c r="BT120" s="13"/>
      <c r="BU120" s="13"/>
      <c r="BX120" s="13"/>
      <c r="BY120" s="13"/>
      <c r="CB120" s="13"/>
      <c r="CC120" s="13"/>
      <c r="CF120" s="13"/>
      <c r="CG120" s="13"/>
      <c r="CJ120" s="13"/>
      <c r="CK120" s="13"/>
      <c r="CN120" s="13"/>
      <c r="CO120" s="13"/>
      <c r="CR120" s="13"/>
      <c r="CS120" s="13"/>
      <c r="CV120" s="13"/>
      <c r="CW120" s="13"/>
    </row>
    <row r="121" spans="60:101" x14ac:dyDescent="0.5">
      <c r="BH121" s="13"/>
      <c r="BI121" s="13"/>
      <c r="BL121" s="13"/>
      <c r="BM121" s="13"/>
      <c r="BP121" s="13"/>
      <c r="BQ121" s="13"/>
      <c r="BT121" s="13"/>
      <c r="BU121" s="13"/>
      <c r="BX121" s="13"/>
      <c r="BY121" s="13"/>
      <c r="CB121" s="13"/>
      <c r="CC121" s="13"/>
      <c r="CF121" s="13"/>
      <c r="CG121" s="13"/>
      <c r="CJ121" s="13"/>
      <c r="CK121" s="13"/>
      <c r="CN121" s="13"/>
      <c r="CO121" s="13"/>
      <c r="CR121" s="13"/>
      <c r="CS121" s="13"/>
      <c r="CV121" s="13"/>
      <c r="CW121" s="13"/>
    </row>
    <row r="122" spans="60:101" x14ac:dyDescent="0.5">
      <c r="BH122" s="13"/>
      <c r="BI122" s="13"/>
      <c r="BL122" s="13"/>
      <c r="BM122" s="13"/>
      <c r="BP122" s="13"/>
      <c r="BQ122" s="13"/>
      <c r="BT122" s="13"/>
      <c r="BU122" s="13"/>
      <c r="BX122" s="13"/>
      <c r="BY122" s="13"/>
      <c r="CB122" s="13"/>
      <c r="CC122" s="13"/>
      <c r="CF122" s="13"/>
      <c r="CG122" s="13"/>
      <c r="CJ122" s="13"/>
      <c r="CK122" s="13"/>
      <c r="CN122" s="13"/>
      <c r="CO122" s="13"/>
      <c r="CR122" s="13"/>
      <c r="CS122" s="13"/>
      <c r="CV122" s="13"/>
      <c r="CW122" s="13"/>
    </row>
    <row r="123" spans="60:101" x14ac:dyDescent="0.5">
      <c r="BH123" s="13"/>
      <c r="BI123" s="13"/>
      <c r="BL123" s="13"/>
      <c r="BM123" s="13"/>
      <c r="BP123" s="13"/>
      <c r="BQ123" s="13"/>
      <c r="BT123" s="13"/>
      <c r="BU123" s="13"/>
      <c r="BX123" s="13"/>
      <c r="BY123" s="13"/>
      <c r="CB123" s="13"/>
      <c r="CC123" s="13"/>
      <c r="CF123" s="13"/>
      <c r="CG123" s="13"/>
      <c r="CJ123" s="13"/>
      <c r="CK123" s="13"/>
      <c r="CN123" s="13"/>
      <c r="CO123" s="13"/>
      <c r="CR123" s="13"/>
      <c r="CS123" s="13"/>
      <c r="CV123" s="13"/>
      <c r="CW123" s="13"/>
    </row>
    <row r="124" spans="60:101" x14ac:dyDescent="0.5">
      <c r="BH124" s="13"/>
      <c r="BI124" s="13"/>
      <c r="BL124" s="13"/>
      <c r="BM124" s="13"/>
      <c r="BP124" s="13"/>
      <c r="BQ124" s="13"/>
      <c r="BT124" s="13"/>
      <c r="BU124" s="13"/>
      <c r="BX124" s="13"/>
      <c r="BY124" s="13"/>
      <c r="CB124" s="13"/>
      <c r="CC124" s="13"/>
      <c r="CF124" s="13"/>
      <c r="CG124" s="13"/>
      <c r="CJ124" s="13"/>
      <c r="CK124" s="13"/>
      <c r="CN124" s="13"/>
      <c r="CO124" s="13"/>
      <c r="CR124" s="13"/>
      <c r="CS124" s="13"/>
      <c r="CV124" s="13"/>
      <c r="CW124" s="13"/>
    </row>
    <row r="125" spans="60:101" x14ac:dyDescent="0.5">
      <c r="BH125" s="13"/>
      <c r="BI125" s="13"/>
      <c r="BL125" s="13"/>
      <c r="BM125" s="13"/>
      <c r="BP125" s="13"/>
      <c r="BQ125" s="13"/>
      <c r="BT125" s="13"/>
      <c r="BU125" s="13"/>
      <c r="BX125" s="13"/>
      <c r="BY125" s="13"/>
      <c r="CB125" s="13"/>
      <c r="CC125" s="13"/>
      <c r="CF125" s="13"/>
      <c r="CG125" s="13"/>
      <c r="CJ125" s="13"/>
      <c r="CK125" s="13"/>
      <c r="CN125" s="13"/>
      <c r="CO125" s="13"/>
      <c r="CR125" s="13"/>
      <c r="CS125" s="13"/>
      <c r="CV125" s="13"/>
      <c r="CW125" s="13"/>
    </row>
    <row r="126" spans="60:101" x14ac:dyDescent="0.5">
      <c r="BH126" s="13"/>
      <c r="BI126" s="13"/>
      <c r="BL126" s="13"/>
      <c r="BM126" s="13"/>
      <c r="BP126" s="13"/>
      <c r="BQ126" s="13"/>
      <c r="BT126" s="13"/>
      <c r="BU126" s="13"/>
      <c r="BX126" s="13"/>
      <c r="BY126" s="13"/>
      <c r="CB126" s="13"/>
      <c r="CC126" s="13"/>
      <c r="CF126" s="13"/>
      <c r="CG126" s="13"/>
      <c r="CJ126" s="13"/>
      <c r="CK126" s="13"/>
      <c r="CN126" s="13"/>
      <c r="CO126" s="13"/>
      <c r="CR126" s="13"/>
      <c r="CS126" s="13"/>
      <c r="CV126" s="13"/>
      <c r="CW126" s="13"/>
    </row>
    <row r="127" spans="60:101" x14ac:dyDescent="0.5">
      <c r="BH127" s="13"/>
      <c r="BI127" s="13"/>
      <c r="BL127" s="13"/>
      <c r="BM127" s="13"/>
      <c r="BP127" s="13"/>
      <c r="BQ127" s="13"/>
      <c r="BT127" s="13"/>
      <c r="BU127" s="13"/>
      <c r="BX127" s="13"/>
      <c r="BY127" s="13"/>
      <c r="CB127" s="13"/>
      <c r="CC127" s="13"/>
      <c r="CF127" s="13"/>
      <c r="CG127" s="13"/>
      <c r="CJ127" s="13"/>
      <c r="CK127" s="13"/>
      <c r="CN127" s="13"/>
      <c r="CO127" s="13"/>
      <c r="CR127" s="13"/>
      <c r="CS127" s="13"/>
      <c r="CV127" s="13"/>
      <c r="CW127" s="13"/>
    </row>
    <row r="128" spans="60:101" x14ac:dyDescent="0.5">
      <c r="BH128" s="13"/>
      <c r="BI128" s="13"/>
      <c r="BL128" s="13"/>
      <c r="BM128" s="13"/>
      <c r="BP128" s="13"/>
      <c r="BQ128" s="13"/>
      <c r="BT128" s="13"/>
      <c r="BU128" s="13"/>
      <c r="BX128" s="13"/>
      <c r="BY128" s="13"/>
      <c r="CB128" s="13"/>
      <c r="CC128" s="13"/>
      <c r="CF128" s="13"/>
      <c r="CG128" s="13"/>
      <c r="CJ128" s="13"/>
      <c r="CK128" s="13"/>
      <c r="CN128" s="13"/>
      <c r="CO128" s="13"/>
      <c r="CR128" s="13"/>
      <c r="CS128" s="13"/>
      <c r="CV128" s="13"/>
      <c r="CW128" s="13"/>
    </row>
    <row r="129" spans="60:101" x14ac:dyDescent="0.5">
      <c r="BH129" s="13"/>
      <c r="BI129" s="13"/>
      <c r="BL129" s="13"/>
      <c r="BM129" s="13"/>
      <c r="BP129" s="13"/>
      <c r="BQ129" s="13"/>
      <c r="BT129" s="13"/>
      <c r="BU129" s="13"/>
      <c r="BX129" s="13"/>
      <c r="BY129" s="13"/>
      <c r="CB129" s="13"/>
      <c r="CC129" s="13"/>
      <c r="CF129" s="13"/>
      <c r="CG129" s="13"/>
      <c r="CJ129" s="13"/>
      <c r="CK129" s="13"/>
      <c r="CN129" s="13"/>
      <c r="CO129" s="13"/>
      <c r="CR129" s="13"/>
      <c r="CS129" s="13"/>
      <c r="CV129" s="13"/>
      <c r="CW129" s="13"/>
    </row>
    <row r="130" spans="60:101" x14ac:dyDescent="0.5">
      <c r="BH130" s="13"/>
      <c r="BI130" s="13"/>
      <c r="BL130" s="13"/>
      <c r="BM130" s="13"/>
      <c r="BP130" s="13"/>
      <c r="BQ130" s="13"/>
      <c r="BT130" s="13"/>
      <c r="BU130" s="13"/>
      <c r="BX130" s="13"/>
      <c r="BY130" s="13"/>
      <c r="CB130" s="13"/>
      <c r="CC130" s="13"/>
      <c r="CF130" s="13"/>
      <c r="CG130" s="13"/>
      <c r="CJ130" s="13"/>
      <c r="CK130" s="13"/>
      <c r="CN130" s="13"/>
      <c r="CO130" s="13"/>
      <c r="CR130" s="13"/>
      <c r="CS130" s="13"/>
      <c r="CV130" s="13"/>
      <c r="CW130" s="13"/>
    </row>
    <row r="131" spans="60:101" x14ac:dyDescent="0.5">
      <c r="BH131" s="13"/>
      <c r="BI131" s="13"/>
      <c r="BL131" s="13"/>
      <c r="BM131" s="13"/>
      <c r="BP131" s="13"/>
      <c r="BQ131" s="13"/>
      <c r="BT131" s="13"/>
      <c r="BU131" s="13"/>
      <c r="BX131" s="13"/>
      <c r="BY131" s="13"/>
      <c r="CB131" s="13"/>
      <c r="CC131" s="13"/>
      <c r="CF131" s="13"/>
      <c r="CG131" s="13"/>
      <c r="CJ131" s="13"/>
      <c r="CK131" s="13"/>
      <c r="CN131" s="13"/>
      <c r="CO131" s="13"/>
      <c r="CR131" s="13"/>
      <c r="CS131" s="13"/>
      <c r="CV131" s="13"/>
      <c r="CW131" s="13"/>
    </row>
    <row r="132" spans="60:101" x14ac:dyDescent="0.5">
      <c r="BH132" s="13"/>
      <c r="BI132" s="13"/>
      <c r="BL132" s="13"/>
      <c r="BM132" s="13"/>
      <c r="BP132" s="13"/>
      <c r="BQ132" s="13"/>
      <c r="BT132" s="13"/>
      <c r="BU132" s="13"/>
      <c r="BX132" s="13"/>
      <c r="BY132" s="13"/>
      <c r="CB132" s="13"/>
      <c r="CC132" s="13"/>
      <c r="CF132" s="13"/>
      <c r="CG132" s="13"/>
      <c r="CJ132" s="13"/>
      <c r="CK132" s="13"/>
      <c r="CN132" s="13"/>
      <c r="CO132" s="13"/>
      <c r="CR132" s="13"/>
      <c r="CS132" s="13"/>
      <c r="CV132" s="13"/>
      <c r="CW132" s="13"/>
    </row>
    <row r="133" spans="60:101" x14ac:dyDescent="0.5">
      <c r="BH133" s="13"/>
      <c r="BI133" s="13"/>
      <c r="BL133" s="13"/>
      <c r="BM133" s="13"/>
      <c r="BP133" s="13"/>
      <c r="BQ133" s="13"/>
      <c r="BT133" s="13"/>
      <c r="BU133" s="13"/>
      <c r="BX133" s="13"/>
      <c r="BY133" s="13"/>
      <c r="CB133" s="13"/>
      <c r="CC133" s="13"/>
      <c r="CF133" s="13"/>
      <c r="CG133" s="13"/>
      <c r="CJ133" s="13"/>
      <c r="CK133" s="13"/>
      <c r="CN133" s="13"/>
      <c r="CO133" s="13"/>
      <c r="CR133" s="13"/>
      <c r="CS133" s="13"/>
      <c r="CV133" s="13"/>
      <c r="CW133" s="13"/>
    </row>
    <row r="134" spans="60:101" x14ac:dyDescent="0.5">
      <c r="BH134" s="13"/>
      <c r="BI134" s="13"/>
      <c r="BL134" s="13"/>
      <c r="BM134" s="13"/>
      <c r="BP134" s="13"/>
      <c r="BQ134" s="13"/>
      <c r="BT134" s="13"/>
      <c r="BU134" s="13"/>
      <c r="BX134" s="13"/>
      <c r="BY134" s="13"/>
      <c r="CB134" s="13"/>
      <c r="CC134" s="13"/>
      <c r="CF134" s="13"/>
      <c r="CG134" s="13"/>
      <c r="CJ134" s="13"/>
      <c r="CK134" s="13"/>
      <c r="CN134" s="13"/>
      <c r="CO134" s="13"/>
      <c r="CR134" s="13"/>
      <c r="CS134" s="13"/>
      <c r="CV134" s="13"/>
      <c r="CW134" s="13"/>
    </row>
    <row r="135" spans="60:101" x14ac:dyDescent="0.5">
      <c r="BH135" s="13"/>
      <c r="BI135" s="13"/>
      <c r="BL135" s="13"/>
      <c r="BM135" s="13"/>
      <c r="BP135" s="13"/>
      <c r="BQ135" s="13"/>
      <c r="BT135" s="13"/>
      <c r="BU135" s="13"/>
      <c r="BX135" s="13"/>
      <c r="BY135" s="13"/>
      <c r="CB135" s="13"/>
      <c r="CC135" s="13"/>
      <c r="CF135" s="13"/>
      <c r="CG135" s="13"/>
      <c r="CJ135" s="13"/>
      <c r="CK135" s="13"/>
      <c r="CN135" s="13"/>
      <c r="CO135" s="13"/>
      <c r="CR135" s="13"/>
      <c r="CS135" s="13"/>
      <c r="CV135" s="13"/>
      <c r="CW135" s="13"/>
    </row>
    <row r="136" spans="60:101" x14ac:dyDescent="0.5">
      <c r="BH136" s="13"/>
      <c r="BI136" s="13"/>
      <c r="BL136" s="13"/>
      <c r="BM136" s="13"/>
      <c r="BP136" s="13"/>
      <c r="BQ136" s="13"/>
      <c r="BT136" s="13"/>
      <c r="BU136" s="13"/>
      <c r="BX136" s="13"/>
      <c r="BY136" s="13"/>
      <c r="CB136" s="13"/>
      <c r="CC136" s="13"/>
      <c r="CF136" s="13"/>
      <c r="CG136" s="13"/>
      <c r="CJ136" s="13"/>
      <c r="CK136" s="13"/>
      <c r="CN136" s="13"/>
      <c r="CO136" s="13"/>
      <c r="CR136" s="13"/>
      <c r="CS136" s="13"/>
      <c r="CV136" s="13"/>
      <c r="CW136" s="13"/>
    </row>
    <row r="137" spans="60:101" x14ac:dyDescent="0.5">
      <c r="BH137" s="13"/>
      <c r="BI137" s="13"/>
      <c r="BL137" s="13"/>
      <c r="BM137" s="13"/>
      <c r="BP137" s="13"/>
      <c r="BQ137" s="13"/>
      <c r="BT137" s="13"/>
      <c r="BU137" s="13"/>
      <c r="BX137" s="13"/>
      <c r="BY137" s="13"/>
      <c r="CB137" s="13"/>
      <c r="CC137" s="13"/>
      <c r="CF137" s="13"/>
      <c r="CG137" s="13"/>
      <c r="CJ137" s="13"/>
      <c r="CK137" s="13"/>
      <c r="CN137" s="13"/>
      <c r="CO137" s="13"/>
      <c r="CR137" s="13"/>
      <c r="CS137" s="13"/>
      <c r="CV137" s="13"/>
      <c r="CW137" s="13"/>
    </row>
    <row r="138" spans="60:101" x14ac:dyDescent="0.5">
      <c r="BH138" s="13"/>
      <c r="BI138" s="13"/>
      <c r="BL138" s="13"/>
      <c r="BM138" s="13"/>
      <c r="BP138" s="13"/>
      <c r="BQ138" s="13"/>
      <c r="BT138" s="13"/>
      <c r="BU138" s="13"/>
      <c r="BX138" s="13"/>
      <c r="BY138" s="13"/>
      <c r="CB138" s="13"/>
      <c r="CC138" s="13"/>
      <c r="CF138" s="13"/>
      <c r="CG138" s="13"/>
      <c r="CJ138" s="13"/>
      <c r="CK138" s="13"/>
      <c r="CN138" s="13"/>
      <c r="CO138" s="13"/>
      <c r="CR138" s="13"/>
      <c r="CS138" s="13"/>
      <c r="CV138" s="13"/>
      <c r="CW138" s="13"/>
    </row>
    <row r="139" spans="60:101" x14ac:dyDescent="0.5">
      <c r="BH139" s="13"/>
      <c r="BI139" s="13"/>
      <c r="BL139" s="13"/>
      <c r="BM139" s="13"/>
      <c r="BP139" s="13"/>
      <c r="BQ139" s="13"/>
      <c r="BT139" s="13"/>
      <c r="BU139" s="13"/>
      <c r="BX139" s="13"/>
      <c r="BY139" s="13"/>
      <c r="CB139" s="13"/>
      <c r="CC139" s="13"/>
      <c r="CF139" s="13"/>
      <c r="CG139" s="13"/>
      <c r="CJ139" s="13"/>
      <c r="CK139" s="13"/>
      <c r="CN139" s="13"/>
      <c r="CO139" s="13"/>
      <c r="CR139" s="13"/>
      <c r="CS139" s="13"/>
      <c r="CV139" s="13"/>
      <c r="CW139" s="13"/>
    </row>
    <row r="140" spans="60:101" x14ac:dyDescent="0.5">
      <c r="BH140" s="13"/>
      <c r="BI140" s="13"/>
      <c r="BL140" s="13"/>
      <c r="BM140" s="13"/>
      <c r="BP140" s="13"/>
      <c r="BQ140" s="13"/>
      <c r="BT140" s="13"/>
      <c r="BU140" s="13"/>
      <c r="BX140" s="13"/>
      <c r="BY140" s="13"/>
      <c r="CB140" s="13"/>
      <c r="CC140" s="13"/>
      <c r="CF140" s="13"/>
      <c r="CG140" s="13"/>
      <c r="CJ140" s="13"/>
      <c r="CK140" s="13"/>
      <c r="CN140" s="13"/>
      <c r="CO140" s="13"/>
      <c r="CR140" s="13"/>
      <c r="CS140" s="13"/>
      <c r="CV140" s="13"/>
      <c r="CW140" s="13"/>
    </row>
    <row r="141" spans="60:101" x14ac:dyDescent="0.5">
      <c r="BH141" s="13"/>
      <c r="BI141" s="13"/>
      <c r="BL141" s="13"/>
      <c r="BM141" s="13"/>
      <c r="BP141" s="13"/>
      <c r="BQ141" s="13"/>
      <c r="BT141" s="13"/>
      <c r="BU141" s="13"/>
      <c r="BX141" s="13"/>
      <c r="BY141" s="13"/>
      <c r="CB141" s="13"/>
      <c r="CC141" s="13"/>
      <c r="CF141" s="13"/>
      <c r="CG141" s="13"/>
      <c r="CJ141" s="13"/>
      <c r="CK141" s="13"/>
      <c r="CN141" s="13"/>
      <c r="CO141" s="13"/>
      <c r="CR141" s="13"/>
      <c r="CS141" s="13"/>
      <c r="CV141" s="13"/>
      <c r="CW141" s="13"/>
    </row>
    <row r="142" spans="60:101" x14ac:dyDescent="0.5">
      <c r="BH142" s="13"/>
      <c r="BI142" s="13"/>
      <c r="BL142" s="13"/>
      <c r="BM142" s="13"/>
      <c r="BP142" s="13"/>
      <c r="BQ142" s="13"/>
      <c r="BT142" s="13"/>
      <c r="BU142" s="13"/>
      <c r="BX142" s="13"/>
      <c r="BY142" s="13"/>
      <c r="CB142" s="13"/>
      <c r="CC142" s="13"/>
      <c r="CF142" s="13"/>
      <c r="CG142" s="13"/>
      <c r="CJ142" s="13"/>
      <c r="CK142" s="13"/>
      <c r="CN142" s="13"/>
      <c r="CO142" s="13"/>
      <c r="CR142" s="13"/>
      <c r="CS142" s="13"/>
      <c r="CV142" s="13"/>
      <c r="CW142" s="13"/>
    </row>
    <row r="143" spans="60:101" x14ac:dyDescent="0.5">
      <c r="BH143" s="13"/>
      <c r="BI143" s="13"/>
      <c r="BL143" s="13"/>
      <c r="BM143" s="13"/>
      <c r="BP143" s="13"/>
      <c r="BQ143" s="13"/>
      <c r="BT143" s="13"/>
      <c r="BU143" s="13"/>
      <c r="BX143" s="13"/>
      <c r="BY143" s="13"/>
      <c r="CB143" s="13"/>
      <c r="CC143" s="13"/>
      <c r="CF143" s="13"/>
      <c r="CG143" s="13"/>
      <c r="CJ143" s="13"/>
      <c r="CK143" s="13"/>
      <c r="CN143" s="13"/>
      <c r="CO143" s="13"/>
      <c r="CR143" s="13"/>
      <c r="CS143" s="13"/>
      <c r="CV143" s="13"/>
      <c r="CW143" s="13"/>
    </row>
    <row r="144" spans="60:101" x14ac:dyDescent="0.5">
      <c r="BH144" s="13"/>
      <c r="BI144" s="13"/>
      <c r="BL144" s="13"/>
      <c r="BM144" s="13"/>
      <c r="BP144" s="13"/>
      <c r="BQ144" s="13"/>
      <c r="BT144" s="13"/>
      <c r="BU144" s="13"/>
      <c r="BX144" s="13"/>
      <c r="BY144" s="13"/>
      <c r="CB144" s="13"/>
      <c r="CC144" s="13"/>
      <c r="CF144" s="13"/>
      <c r="CG144" s="13"/>
      <c r="CJ144" s="13"/>
      <c r="CK144" s="13"/>
      <c r="CN144" s="13"/>
      <c r="CO144" s="13"/>
      <c r="CR144" s="13"/>
      <c r="CS144" s="13"/>
      <c r="CV144" s="13"/>
      <c r="CW144" s="13"/>
    </row>
    <row r="145" spans="60:101" x14ac:dyDescent="0.5">
      <c r="BH145" s="13"/>
      <c r="BI145" s="13"/>
      <c r="BL145" s="13"/>
      <c r="BM145" s="13"/>
      <c r="BP145" s="13"/>
      <c r="BQ145" s="13"/>
      <c r="BT145" s="13"/>
      <c r="BU145" s="13"/>
      <c r="BX145" s="13"/>
      <c r="BY145" s="13"/>
      <c r="CB145" s="13"/>
      <c r="CC145" s="13"/>
      <c r="CF145" s="13"/>
      <c r="CG145" s="13"/>
      <c r="CJ145" s="13"/>
      <c r="CK145" s="13"/>
      <c r="CN145" s="13"/>
      <c r="CO145" s="13"/>
      <c r="CR145" s="13"/>
      <c r="CS145" s="13"/>
      <c r="CV145" s="13"/>
      <c r="CW145" s="13"/>
    </row>
    <row r="146" spans="60:101" x14ac:dyDescent="0.5">
      <c r="BH146" s="13"/>
      <c r="BI146" s="13"/>
      <c r="BL146" s="13"/>
      <c r="BM146" s="13"/>
      <c r="BP146" s="13"/>
      <c r="BQ146" s="13"/>
      <c r="BT146" s="13"/>
      <c r="BU146" s="13"/>
      <c r="BX146" s="13"/>
      <c r="BY146" s="13"/>
      <c r="CB146" s="13"/>
      <c r="CC146" s="13"/>
      <c r="CF146" s="13"/>
      <c r="CG146" s="13"/>
      <c r="CJ146" s="13"/>
      <c r="CK146" s="13"/>
      <c r="CN146" s="13"/>
      <c r="CO146" s="13"/>
      <c r="CR146" s="13"/>
      <c r="CS146" s="13"/>
      <c r="CV146" s="13"/>
      <c r="CW146" s="13"/>
    </row>
    <row r="147" spans="60:101" x14ac:dyDescent="0.5">
      <c r="BH147" s="13"/>
      <c r="BI147" s="13"/>
      <c r="BL147" s="13"/>
      <c r="BM147" s="13"/>
      <c r="BP147" s="13"/>
      <c r="BQ147" s="13"/>
      <c r="BT147" s="13"/>
      <c r="BU147" s="13"/>
      <c r="BX147" s="13"/>
      <c r="BY147" s="13"/>
      <c r="CB147" s="13"/>
      <c r="CC147" s="13"/>
      <c r="CF147" s="13"/>
      <c r="CG147" s="13"/>
      <c r="CJ147" s="13"/>
      <c r="CK147" s="13"/>
      <c r="CN147" s="13"/>
      <c r="CO147" s="13"/>
      <c r="CR147" s="13"/>
      <c r="CS147" s="13"/>
      <c r="CV147" s="13"/>
      <c r="CW147" s="13"/>
    </row>
    <row r="148" spans="60:101" x14ac:dyDescent="0.5">
      <c r="BH148" s="13"/>
      <c r="BI148" s="13"/>
      <c r="BL148" s="13"/>
      <c r="BM148" s="13"/>
      <c r="BP148" s="13"/>
      <c r="BQ148" s="13"/>
      <c r="BT148" s="13"/>
      <c r="BU148" s="13"/>
      <c r="BX148" s="13"/>
      <c r="BY148" s="13"/>
      <c r="CB148" s="13"/>
      <c r="CC148" s="13"/>
      <c r="CF148" s="13"/>
      <c r="CG148" s="13"/>
      <c r="CJ148" s="13"/>
      <c r="CK148" s="13"/>
      <c r="CN148" s="13"/>
      <c r="CO148" s="13"/>
      <c r="CR148" s="13"/>
      <c r="CS148" s="13"/>
      <c r="CV148" s="13"/>
      <c r="CW148" s="13"/>
    </row>
    <row r="149" spans="60:101" x14ac:dyDescent="0.5">
      <c r="BH149" s="13"/>
      <c r="BI149" s="13"/>
      <c r="BL149" s="13"/>
      <c r="BM149" s="13"/>
      <c r="BP149" s="13"/>
      <c r="BQ149" s="13"/>
      <c r="BT149" s="13"/>
      <c r="BU149" s="13"/>
      <c r="BX149" s="13"/>
      <c r="BY149" s="13"/>
      <c r="CB149" s="13"/>
      <c r="CC149" s="13"/>
      <c r="CF149" s="13"/>
      <c r="CG149" s="13"/>
      <c r="CJ149" s="13"/>
      <c r="CK149" s="13"/>
      <c r="CN149" s="13"/>
      <c r="CO149" s="13"/>
      <c r="CR149" s="13"/>
      <c r="CS149" s="13"/>
      <c r="CV149" s="13"/>
      <c r="CW149" s="13"/>
    </row>
    <row r="150" spans="60:101" x14ac:dyDescent="0.5">
      <c r="BH150" s="13"/>
      <c r="BI150" s="13"/>
      <c r="BL150" s="13"/>
      <c r="BM150" s="13"/>
      <c r="BP150" s="13"/>
      <c r="BQ150" s="13"/>
      <c r="BT150" s="13"/>
      <c r="BU150" s="13"/>
      <c r="BX150" s="13"/>
      <c r="BY150" s="13"/>
      <c r="CB150" s="13"/>
      <c r="CC150" s="13"/>
      <c r="CF150" s="13"/>
      <c r="CG150" s="13"/>
      <c r="CJ150" s="13"/>
      <c r="CK150" s="13"/>
      <c r="CN150" s="13"/>
      <c r="CO150" s="13"/>
      <c r="CR150" s="13"/>
      <c r="CS150" s="13"/>
      <c r="CV150" s="13"/>
      <c r="CW150" s="13"/>
    </row>
    <row r="151" spans="60:101" x14ac:dyDescent="0.5">
      <c r="BH151" s="13"/>
      <c r="BI151" s="13"/>
      <c r="BL151" s="13"/>
      <c r="BM151" s="13"/>
      <c r="BP151" s="13"/>
      <c r="BQ151" s="13"/>
      <c r="BT151" s="13"/>
      <c r="BU151" s="13"/>
      <c r="BX151" s="13"/>
      <c r="BY151" s="13"/>
      <c r="CB151" s="13"/>
      <c r="CC151" s="13"/>
      <c r="CF151" s="13"/>
      <c r="CG151" s="13"/>
      <c r="CJ151" s="13"/>
      <c r="CK151" s="13"/>
      <c r="CN151" s="13"/>
      <c r="CO151" s="13"/>
      <c r="CR151" s="13"/>
      <c r="CS151" s="13"/>
      <c r="CV151" s="13"/>
      <c r="CW151" s="13"/>
    </row>
    <row r="152" spans="60:101" x14ac:dyDescent="0.5">
      <c r="BH152" s="13"/>
      <c r="BI152" s="13"/>
      <c r="BL152" s="13"/>
      <c r="BM152" s="13"/>
      <c r="BP152" s="13"/>
      <c r="BQ152" s="13"/>
      <c r="BT152" s="13"/>
      <c r="BU152" s="13"/>
      <c r="BX152" s="13"/>
      <c r="BY152" s="13"/>
      <c r="CB152" s="13"/>
      <c r="CC152" s="13"/>
      <c r="CF152" s="13"/>
      <c r="CG152" s="13"/>
      <c r="CJ152" s="13"/>
      <c r="CK152" s="13"/>
      <c r="CN152" s="13"/>
      <c r="CO152" s="13"/>
      <c r="CR152" s="13"/>
      <c r="CS152" s="13"/>
      <c r="CV152" s="13"/>
      <c r="CW152" s="13"/>
    </row>
    <row r="153" spans="60:101" x14ac:dyDescent="0.5">
      <c r="BH153" s="13"/>
      <c r="BI153" s="13"/>
      <c r="BL153" s="13"/>
      <c r="BM153" s="13"/>
      <c r="BP153" s="13"/>
      <c r="BQ153" s="13"/>
      <c r="BT153" s="13"/>
      <c r="BU153" s="13"/>
      <c r="BX153" s="13"/>
      <c r="BY153" s="13"/>
      <c r="CB153" s="13"/>
      <c r="CC153" s="13"/>
      <c r="CF153" s="13"/>
      <c r="CG153" s="13"/>
      <c r="CJ153" s="13"/>
      <c r="CK153" s="13"/>
      <c r="CN153" s="13"/>
      <c r="CO153" s="13"/>
      <c r="CR153" s="13"/>
      <c r="CS153" s="13"/>
      <c r="CV153" s="13"/>
      <c r="CW153" s="13"/>
    </row>
    <row r="154" spans="60:101" x14ac:dyDescent="0.5">
      <c r="BH154" s="13"/>
      <c r="BI154" s="13"/>
      <c r="BL154" s="13"/>
      <c r="BM154" s="13"/>
      <c r="BP154" s="13"/>
      <c r="BQ154" s="13"/>
      <c r="BT154" s="13"/>
      <c r="BU154" s="13"/>
      <c r="BX154" s="13"/>
      <c r="BY154" s="13"/>
      <c r="CB154" s="13"/>
      <c r="CC154" s="13"/>
      <c r="CF154" s="13"/>
      <c r="CG154" s="13"/>
      <c r="CJ154" s="13"/>
      <c r="CK154" s="13"/>
      <c r="CN154" s="13"/>
      <c r="CO154" s="13"/>
      <c r="CR154" s="13"/>
      <c r="CS154" s="13"/>
      <c r="CV154" s="13"/>
      <c r="CW154" s="13"/>
    </row>
    <row r="155" spans="60:101" x14ac:dyDescent="0.5">
      <c r="BH155" s="13"/>
      <c r="BI155" s="13"/>
      <c r="BL155" s="13"/>
      <c r="BM155" s="13"/>
      <c r="BP155" s="13"/>
      <c r="BQ155" s="13"/>
      <c r="BT155" s="13"/>
      <c r="BU155" s="13"/>
      <c r="BX155" s="13"/>
      <c r="BY155" s="13"/>
      <c r="CB155" s="13"/>
      <c r="CC155" s="13"/>
      <c r="CF155" s="13"/>
      <c r="CG155" s="13"/>
      <c r="CJ155" s="13"/>
      <c r="CK155" s="13"/>
      <c r="CN155" s="13"/>
      <c r="CO155" s="13"/>
      <c r="CR155" s="13"/>
      <c r="CS155" s="13"/>
      <c r="CV155" s="13"/>
      <c r="CW155" s="13"/>
    </row>
  </sheetData>
  <mergeCells count="52">
    <mergeCell ref="CV4:CW5"/>
    <mergeCell ref="A4:A6"/>
    <mergeCell ref="Z4:AA5"/>
    <mergeCell ref="AP4:AQ5"/>
    <mergeCell ref="B4:B6"/>
    <mergeCell ref="C4:C5"/>
    <mergeCell ref="AF4:AG5"/>
    <mergeCell ref="J4:K5"/>
    <mergeCell ref="L4:M5"/>
    <mergeCell ref="N4:O5"/>
    <mergeCell ref="P4:Q5"/>
    <mergeCell ref="R4:S5"/>
    <mergeCell ref="T4:U5"/>
    <mergeCell ref="V4:W5"/>
    <mergeCell ref="X4:Y5"/>
    <mergeCell ref="F4:G5"/>
    <mergeCell ref="D4:E5"/>
    <mergeCell ref="BV4:BW5"/>
    <mergeCell ref="BX4:BY5"/>
    <mergeCell ref="AR4:AS5"/>
    <mergeCell ref="BT4:BU5"/>
    <mergeCell ref="BF4:BG5"/>
    <mergeCell ref="BH4:BI5"/>
    <mergeCell ref="BJ4:BK5"/>
    <mergeCell ref="BL4:BM5"/>
    <mergeCell ref="BN4:BO5"/>
    <mergeCell ref="AT4:AU5"/>
    <mergeCell ref="BP4:BQ5"/>
    <mergeCell ref="BR4:BS5"/>
    <mergeCell ref="BD4:BE5"/>
    <mergeCell ref="H4:I5"/>
    <mergeCell ref="BB4:BC5"/>
    <mergeCell ref="AV4:AW5"/>
    <mergeCell ref="AX4:AY5"/>
    <mergeCell ref="AZ4:BA5"/>
    <mergeCell ref="AB4:AC5"/>
    <mergeCell ref="CJ4:CK5"/>
    <mergeCell ref="CD4:CE5"/>
    <mergeCell ref="CF4:CG5"/>
    <mergeCell ref="BZ4:CA5"/>
    <mergeCell ref="CB4:CC5"/>
    <mergeCell ref="CH4:CI5"/>
    <mergeCell ref="AD4:AE5"/>
    <mergeCell ref="AH4:AI5"/>
    <mergeCell ref="AJ4:AK5"/>
    <mergeCell ref="AL4:AM5"/>
    <mergeCell ref="AN4:AO5"/>
    <mergeCell ref="CL4:CM5"/>
    <mergeCell ref="CN4:CO5"/>
    <mergeCell ref="CT4:CU5"/>
    <mergeCell ref="CP4:CQ5"/>
    <mergeCell ref="CR4:CS5"/>
  </mergeCells>
  <pageMargins left="0.39370078740157483" right="0.15748031496062992" top="0.31496062992125984" bottom="0.19685039370078741" header="0.31496062992125984" footer="0.31496062992125984"/>
  <pageSetup paperSize="9" orientation="landscape" blackAndWhite="1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63"/>
  <sheetViews>
    <sheetView view="pageBreakPreview" zoomScale="90" zoomScaleNormal="80" zoomScaleSheetLayoutView="90" workbookViewId="0">
      <pane xSplit="3" ySplit="6" topLeftCell="D109" activePane="bottomRight" state="frozen"/>
      <selection pane="topRight" activeCell="D1" sqref="D1"/>
      <selection pane="bottomLeft" activeCell="A7" sqref="A7"/>
      <selection pane="bottomRight" activeCell="AU109" sqref="AU109"/>
    </sheetView>
  </sheetViews>
  <sheetFormatPr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177" customWidth="1"/>
    <col min="6" max="7" width="13.7109375" style="97" customWidth="1"/>
    <col min="8" max="9" width="13.7109375" style="2" customWidth="1"/>
    <col min="10" max="11" width="13.7109375" style="97" customWidth="1"/>
    <col min="12" max="13" width="13.7109375" style="2" customWidth="1"/>
    <col min="14" max="15" width="13.7109375" style="97" customWidth="1"/>
    <col min="16" max="17" width="13.7109375" style="2" customWidth="1"/>
    <col min="18" max="19" width="13.7109375" style="97" customWidth="1"/>
    <col min="20" max="21" width="13.7109375" style="2" customWidth="1"/>
    <col min="22" max="23" width="13.7109375" style="97" customWidth="1"/>
    <col min="24" max="25" width="13.7109375" style="2" customWidth="1"/>
    <col min="26" max="27" width="13.7109375" style="97" customWidth="1"/>
    <col min="28" max="29" width="13.7109375" style="2" customWidth="1"/>
    <col min="30" max="31" width="13.7109375" style="97" customWidth="1"/>
    <col min="32" max="33" width="13.7109375" style="2" customWidth="1"/>
    <col min="34" max="35" width="13.7109375" style="97" customWidth="1"/>
    <col min="36" max="37" width="13.7109375" style="2" customWidth="1"/>
    <col min="38" max="39" width="13.7109375" style="97" customWidth="1"/>
    <col min="40" max="41" width="13.7109375" style="2" customWidth="1"/>
    <col min="42" max="43" width="13.7109375" style="97" customWidth="1"/>
    <col min="44" max="45" width="13.7109375" style="2" customWidth="1"/>
    <col min="46" max="47" width="13.7109375" style="97" customWidth="1"/>
    <col min="48" max="49" width="13.7109375" style="2" customWidth="1"/>
    <col min="50" max="51" width="13.7109375" style="97" customWidth="1"/>
    <col min="52" max="55" width="13.7109375" style="2" customWidth="1"/>
    <col min="56" max="57" width="13.7109375" style="208" customWidth="1"/>
  </cols>
  <sheetData>
    <row r="1" spans="1:57" x14ac:dyDescent="0.5">
      <c r="A1" s="111" t="s">
        <v>166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</row>
    <row r="2" spans="1:57" x14ac:dyDescent="0.5">
      <c r="A2" s="111" t="s">
        <v>225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</row>
    <row r="3" spans="1:57" x14ac:dyDescent="0.5">
      <c r="A3" s="4" t="s">
        <v>230</v>
      </c>
      <c r="B3" s="4"/>
      <c r="C3" s="4"/>
      <c r="D3" s="4"/>
      <c r="E3" s="4"/>
      <c r="F3" s="4"/>
      <c r="G3" s="156"/>
      <c r="H3" s="4"/>
      <c r="I3" s="4"/>
      <c r="J3" s="4"/>
      <c r="K3" s="156"/>
      <c r="L3" s="4"/>
      <c r="M3" s="4"/>
      <c r="N3" s="4"/>
      <c r="O3" s="156"/>
      <c r="P3" s="4"/>
      <c r="Q3" s="4"/>
      <c r="R3" s="4"/>
      <c r="S3" s="156"/>
      <c r="T3" s="4"/>
      <c r="U3" s="4"/>
      <c r="V3" s="4"/>
      <c r="W3" s="156"/>
      <c r="X3" s="4"/>
      <c r="Y3" s="4"/>
      <c r="Z3" s="4"/>
      <c r="AA3" s="156"/>
      <c r="AB3" s="4"/>
      <c r="AC3" s="4"/>
      <c r="AD3" s="4"/>
      <c r="AE3" s="156"/>
      <c r="AF3" s="4"/>
      <c r="AG3" s="4"/>
      <c r="AH3" s="4"/>
      <c r="AI3" s="156"/>
      <c r="AJ3" s="4"/>
      <c r="AK3" s="4"/>
      <c r="AL3" s="4"/>
      <c r="AM3" s="156"/>
      <c r="AN3" s="4"/>
      <c r="AO3" s="4"/>
      <c r="AP3" s="4"/>
      <c r="AQ3" s="156"/>
      <c r="AR3" s="4"/>
      <c r="AS3" s="4"/>
      <c r="AT3" s="4"/>
      <c r="AU3" s="156"/>
      <c r="AV3" s="4"/>
      <c r="AW3" s="4"/>
      <c r="AX3" s="4"/>
      <c r="AY3" s="156"/>
      <c r="AZ3" s="4"/>
      <c r="BA3" s="4"/>
      <c r="BB3" s="4"/>
      <c r="BC3" s="4"/>
      <c r="BD3" s="4"/>
      <c r="BE3" s="4"/>
    </row>
    <row r="4" spans="1:57" x14ac:dyDescent="0.2">
      <c r="A4" s="318" t="s">
        <v>203</v>
      </c>
      <c r="B4" s="324" t="s">
        <v>29</v>
      </c>
      <c r="C4" s="317" t="s">
        <v>95</v>
      </c>
      <c r="D4" s="333" t="s">
        <v>208</v>
      </c>
      <c r="E4" s="334"/>
      <c r="F4" s="325">
        <v>22061</v>
      </c>
      <c r="G4" s="322"/>
      <c r="H4" s="314" t="s">
        <v>172</v>
      </c>
      <c r="I4" s="314"/>
      <c r="J4" s="325">
        <v>22093</v>
      </c>
      <c r="K4" s="322"/>
      <c r="L4" s="314" t="s">
        <v>172</v>
      </c>
      <c r="M4" s="314"/>
      <c r="N4" s="325">
        <v>22128</v>
      </c>
      <c r="O4" s="322"/>
      <c r="P4" s="314" t="s">
        <v>172</v>
      </c>
      <c r="Q4" s="314"/>
      <c r="R4" s="325">
        <v>22159</v>
      </c>
      <c r="S4" s="322"/>
      <c r="T4" s="314" t="s">
        <v>172</v>
      </c>
      <c r="U4" s="314"/>
      <c r="V4" s="325">
        <v>22184</v>
      </c>
      <c r="W4" s="322"/>
      <c r="X4" s="314" t="s">
        <v>172</v>
      </c>
      <c r="Y4" s="314"/>
      <c r="Z4" s="325">
        <v>22220</v>
      </c>
      <c r="AA4" s="322"/>
      <c r="AB4" s="314" t="s">
        <v>172</v>
      </c>
      <c r="AC4" s="314"/>
      <c r="AD4" s="325">
        <v>22250</v>
      </c>
      <c r="AE4" s="322"/>
      <c r="AF4" s="314" t="s">
        <v>172</v>
      </c>
      <c r="AG4" s="314"/>
      <c r="AH4" s="325">
        <v>22281</v>
      </c>
      <c r="AI4" s="322"/>
      <c r="AJ4" s="314" t="s">
        <v>172</v>
      </c>
      <c r="AK4" s="314"/>
      <c r="AL4" s="325">
        <v>22312</v>
      </c>
      <c r="AM4" s="322"/>
      <c r="AN4" s="326" t="s">
        <v>172</v>
      </c>
      <c r="AO4" s="327"/>
      <c r="AP4" s="325">
        <v>22340</v>
      </c>
      <c r="AQ4" s="322"/>
      <c r="AR4" s="326" t="s">
        <v>172</v>
      </c>
      <c r="AS4" s="327"/>
      <c r="AT4" s="325">
        <v>22366</v>
      </c>
      <c r="AU4" s="322"/>
      <c r="AV4" s="326" t="s">
        <v>207</v>
      </c>
      <c r="AW4" s="327"/>
      <c r="AX4" s="325">
        <v>22401</v>
      </c>
      <c r="AY4" s="322"/>
      <c r="AZ4" s="326" t="s">
        <v>234</v>
      </c>
      <c r="BA4" s="327"/>
      <c r="BB4" s="341" t="s">
        <v>228</v>
      </c>
      <c r="BC4" s="342"/>
      <c r="BD4" s="337" t="s">
        <v>229</v>
      </c>
      <c r="BE4" s="338"/>
    </row>
    <row r="5" spans="1:57" x14ac:dyDescent="0.2">
      <c r="A5" s="331"/>
      <c r="B5" s="324"/>
      <c r="C5" s="317"/>
      <c r="D5" s="335" t="s">
        <v>209</v>
      </c>
      <c r="E5" s="336"/>
      <c r="F5" s="322"/>
      <c r="G5" s="322"/>
      <c r="H5" s="314"/>
      <c r="I5" s="314"/>
      <c r="J5" s="322"/>
      <c r="K5" s="322"/>
      <c r="L5" s="314"/>
      <c r="M5" s="314"/>
      <c r="N5" s="322"/>
      <c r="O5" s="322"/>
      <c r="P5" s="314"/>
      <c r="Q5" s="314"/>
      <c r="R5" s="322"/>
      <c r="S5" s="322"/>
      <c r="T5" s="314"/>
      <c r="U5" s="314"/>
      <c r="V5" s="322"/>
      <c r="W5" s="322"/>
      <c r="X5" s="314"/>
      <c r="Y5" s="314"/>
      <c r="Z5" s="322"/>
      <c r="AA5" s="322"/>
      <c r="AB5" s="314"/>
      <c r="AC5" s="314"/>
      <c r="AD5" s="322"/>
      <c r="AE5" s="322"/>
      <c r="AF5" s="314"/>
      <c r="AG5" s="314"/>
      <c r="AH5" s="322"/>
      <c r="AI5" s="322"/>
      <c r="AJ5" s="314"/>
      <c r="AK5" s="314"/>
      <c r="AL5" s="322"/>
      <c r="AM5" s="322"/>
      <c r="AN5" s="328"/>
      <c r="AO5" s="329"/>
      <c r="AP5" s="322"/>
      <c r="AQ5" s="322"/>
      <c r="AR5" s="328"/>
      <c r="AS5" s="329"/>
      <c r="AT5" s="322"/>
      <c r="AU5" s="322"/>
      <c r="AV5" s="328"/>
      <c r="AW5" s="329"/>
      <c r="AX5" s="322"/>
      <c r="AY5" s="322"/>
      <c r="AZ5" s="328"/>
      <c r="BA5" s="329"/>
      <c r="BB5" s="343"/>
      <c r="BC5" s="344"/>
      <c r="BD5" s="339"/>
      <c r="BE5" s="340"/>
    </row>
    <row r="6" spans="1:57" x14ac:dyDescent="0.5">
      <c r="A6" s="332"/>
      <c r="B6" s="324"/>
      <c r="C6" s="178" t="s">
        <v>96</v>
      </c>
      <c r="D6" s="169" t="s">
        <v>38</v>
      </c>
      <c r="E6" s="169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58" t="s">
        <v>38</v>
      </c>
      <c r="BA6" s="58" t="s">
        <v>39</v>
      </c>
      <c r="BB6" s="151" t="s">
        <v>38</v>
      </c>
      <c r="BC6" s="151" t="s">
        <v>39</v>
      </c>
      <c r="BD6" s="199" t="s">
        <v>38</v>
      </c>
      <c r="BE6" s="199" t="s">
        <v>39</v>
      </c>
    </row>
    <row r="7" spans="1:57" s="180" customFormat="1" ht="24" x14ac:dyDescent="0.5">
      <c r="A7" s="183"/>
      <c r="B7" s="185" t="s">
        <v>212</v>
      </c>
      <c r="C7" s="184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51"/>
      <c r="BC7" s="151"/>
      <c r="BD7" s="199"/>
      <c r="BE7" s="199"/>
    </row>
    <row r="8" spans="1:57" x14ac:dyDescent="0.5">
      <c r="A8" s="67">
        <v>1</v>
      </c>
      <c r="B8" s="81" t="s">
        <v>1</v>
      </c>
      <c r="C8" s="67">
        <v>5</v>
      </c>
      <c r="D8" s="170">
        <v>33559.550000000003</v>
      </c>
      <c r="E8" s="170"/>
      <c r="F8" s="91">
        <v>95024.03</v>
      </c>
      <c r="G8" s="91">
        <v>109519.09</v>
      </c>
      <c r="H8" s="68">
        <f t="shared" ref="H8:H15" si="0">D8+F8-G8</f>
        <v>19064.490000000005</v>
      </c>
      <c r="I8" s="68"/>
      <c r="J8" s="91">
        <v>69713.37</v>
      </c>
      <c r="K8" s="91">
        <v>61569.55</v>
      </c>
      <c r="L8" s="68">
        <f t="shared" ref="L8:L15" si="1">H8+J8-K8</f>
        <v>27208.309999999998</v>
      </c>
      <c r="M8" s="68"/>
      <c r="N8" s="91">
        <v>115806.15</v>
      </c>
      <c r="O8" s="91">
        <v>129959.47</v>
      </c>
      <c r="P8" s="68">
        <f t="shared" ref="P8:P15" si="2">L8+N8-O8</f>
        <v>13054.989999999991</v>
      </c>
      <c r="Q8" s="68"/>
      <c r="R8" s="91">
        <v>16800</v>
      </c>
      <c r="S8" s="91">
        <v>16159.38</v>
      </c>
      <c r="T8" s="68">
        <f t="shared" ref="T8:T15" si="3">P8+R8-S8</f>
        <v>13695.609999999991</v>
      </c>
      <c r="U8" s="68"/>
      <c r="V8" s="91">
        <v>202877.61</v>
      </c>
      <c r="W8" s="91">
        <v>200242.29</v>
      </c>
      <c r="X8" s="68">
        <f t="shared" ref="X8:X15" si="4">T8+V8-W8</f>
        <v>16330.929999999964</v>
      </c>
      <c r="Y8" s="68"/>
      <c r="Z8" s="91">
        <v>87660.41</v>
      </c>
      <c r="AA8" s="91">
        <v>69568.87</v>
      </c>
      <c r="AB8" s="68">
        <f t="shared" ref="AB8:AB15" si="5">X8+Z8-AA8</f>
        <v>34422.469999999972</v>
      </c>
      <c r="AC8" s="68"/>
      <c r="AD8" s="91">
        <v>2540</v>
      </c>
      <c r="AE8" s="91">
        <v>15086</v>
      </c>
      <c r="AF8" s="68">
        <f t="shared" ref="AF8:AF15" si="6">AB8+AD8-AE8</f>
        <v>21876.469999999972</v>
      </c>
      <c r="AG8" s="68"/>
      <c r="AH8" s="91">
        <v>59665.79</v>
      </c>
      <c r="AI8" s="91">
        <v>53539.45</v>
      </c>
      <c r="AJ8" s="68">
        <f t="shared" ref="AJ8:AJ15" si="7">AF8+AH8-AI8</f>
        <v>28002.809999999983</v>
      </c>
      <c r="AK8" s="68"/>
      <c r="AL8" s="91">
        <v>295923.62</v>
      </c>
      <c r="AM8" s="91">
        <v>288876.03000000003</v>
      </c>
      <c r="AN8" s="68">
        <f t="shared" ref="AN8:AN15" si="8">AJ8+AL8-AM8</f>
        <v>35050.399999999965</v>
      </c>
      <c r="AO8" s="68"/>
      <c r="AP8" s="91">
        <v>198301.32</v>
      </c>
      <c r="AQ8" s="91">
        <v>204699.83</v>
      </c>
      <c r="AR8" s="68">
        <f>AN8+AP8-AQ8</f>
        <v>28651.889999999985</v>
      </c>
      <c r="AS8" s="68"/>
      <c r="AT8" s="91">
        <v>456480.64</v>
      </c>
      <c r="AU8" s="91">
        <v>452060.26</v>
      </c>
      <c r="AV8" s="68">
        <f>AR8+AT8-AU8</f>
        <v>33072.270000000019</v>
      </c>
      <c r="AW8" s="68"/>
      <c r="AX8" s="91">
        <v>555822.64</v>
      </c>
      <c r="AY8" s="91">
        <v>551640.38</v>
      </c>
      <c r="AZ8" s="68">
        <f>AV8+AX8-AY8</f>
        <v>37254.530000000028</v>
      </c>
      <c r="BA8" s="68"/>
      <c r="BB8" s="152">
        <f>+F8+J8+N8+R8+V8+Z8+AD8+AH8+AL8+AP8+AT8+AX8</f>
        <v>2156615.58</v>
      </c>
      <c r="BC8" s="152">
        <f>+G8+K8+O8+S8+W8+AA8+AE8+AI8+AM8+AQ8+AU8+AY8</f>
        <v>2152920.6</v>
      </c>
      <c r="BD8" s="200">
        <f>D8+BB8-BC8</f>
        <v>37254.529999999795</v>
      </c>
      <c r="BE8" s="200"/>
    </row>
    <row r="9" spans="1:57" x14ac:dyDescent="0.5">
      <c r="A9" s="67">
        <v>2</v>
      </c>
      <c r="B9" s="81" t="s">
        <v>40</v>
      </c>
      <c r="C9" s="67">
        <v>22</v>
      </c>
      <c r="D9" s="170">
        <v>382819.23</v>
      </c>
      <c r="E9" s="170"/>
      <c r="F9" s="91">
        <v>10000</v>
      </c>
      <c r="G9" s="91"/>
      <c r="H9" s="68">
        <f t="shared" si="0"/>
        <v>392819.23</v>
      </c>
      <c r="I9" s="68"/>
      <c r="J9" s="91">
        <v>20000</v>
      </c>
      <c r="K9" s="91"/>
      <c r="L9" s="68">
        <f t="shared" si="1"/>
        <v>412819.23</v>
      </c>
      <c r="M9" s="68"/>
      <c r="N9" s="91"/>
      <c r="O9" s="91">
        <v>40000</v>
      </c>
      <c r="P9" s="68">
        <f t="shared" si="2"/>
        <v>372819.23</v>
      </c>
      <c r="Q9" s="68"/>
      <c r="R9" s="91"/>
      <c r="S9" s="91"/>
      <c r="T9" s="68">
        <f t="shared" si="3"/>
        <v>372819.23</v>
      </c>
      <c r="U9" s="68"/>
      <c r="V9" s="91">
        <v>936.81</v>
      </c>
      <c r="W9" s="91"/>
      <c r="X9" s="68">
        <f t="shared" si="4"/>
        <v>373756.04</v>
      </c>
      <c r="Y9" s="68"/>
      <c r="Z9" s="91"/>
      <c r="AA9" s="91"/>
      <c r="AB9" s="68">
        <f t="shared" si="5"/>
        <v>373756.04</v>
      </c>
      <c r="AC9" s="68"/>
      <c r="AD9" s="91"/>
      <c r="AE9" s="91"/>
      <c r="AF9" s="68">
        <f t="shared" si="6"/>
        <v>373756.04</v>
      </c>
      <c r="AG9" s="68"/>
      <c r="AH9" s="91">
        <v>10000</v>
      </c>
      <c r="AI9" s="91"/>
      <c r="AJ9" s="68">
        <f t="shared" si="7"/>
        <v>383756.04</v>
      </c>
      <c r="AK9" s="68"/>
      <c r="AL9" s="91">
        <v>15000</v>
      </c>
      <c r="AM9" s="91"/>
      <c r="AN9" s="68">
        <f t="shared" si="8"/>
        <v>398756.04</v>
      </c>
      <c r="AO9" s="68"/>
      <c r="AP9" s="91">
        <v>22500</v>
      </c>
      <c r="AQ9" s="91"/>
      <c r="AR9" s="68">
        <f>AN9+AP9-AQ9</f>
        <v>421256.04</v>
      </c>
      <c r="AS9" s="68"/>
      <c r="AT9" s="91">
        <v>81480.33</v>
      </c>
      <c r="AU9" s="91"/>
      <c r="AV9" s="68">
        <f>AR9+AT9-AU9</f>
        <v>502736.37</v>
      </c>
      <c r="AW9" s="68"/>
      <c r="AX9" s="91">
        <v>93000</v>
      </c>
      <c r="AY9" s="91">
        <v>50000</v>
      </c>
      <c r="AZ9" s="68">
        <f>AV9+AX9-AY9</f>
        <v>545736.37</v>
      </c>
      <c r="BA9" s="68"/>
      <c r="BB9" s="152">
        <f>+F9+J9+N9+R9+V9+Z9+AD9+AH9+AL9+AP9+AT9+AX9</f>
        <v>252917.14</v>
      </c>
      <c r="BC9" s="152">
        <f>+G9+K9+O9+S9+W9+AA9+AE9+AI9+AM9+AQ9+AY9</f>
        <v>90000</v>
      </c>
      <c r="BD9" s="200">
        <f>D9+BB9-BC9</f>
        <v>545736.37</v>
      </c>
      <c r="BE9" s="200"/>
    </row>
    <row r="10" spans="1:57" x14ac:dyDescent="0.5">
      <c r="A10" s="67">
        <v>3</v>
      </c>
      <c r="B10" s="81" t="s">
        <v>42</v>
      </c>
      <c r="C10" s="67">
        <v>33</v>
      </c>
      <c r="D10" s="170">
        <v>580.01</v>
      </c>
      <c r="E10" s="170"/>
      <c r="F10" s="91"/>
      <c r="G10" s="91"/>
      <c r="H10" s="68">
        <f t="shared" si="0"/>
        <v>580.01</v>
      </c>
      <c r="I10" s="68"/>
      <c r="J10" s="91"/>
      <c r="K10" s="91"/>
      <c r="L10" s="68">
        <f t="shared" si="1"/>
        <v>580.01</v>
      </c>
      <c r="M10" s="68"/>
      <c r="N10" s="91"/>
      <c r="O10" s="91"/>
      <c r="P10" s="68">
        <f t="shared" si="2"/>
        <v>580.01</v>
      </c>
      <c r="Q10" s="68"/>
      <c r="R10" s="91"/>
      <c r="S10" s="91"/>
      <c r="T10" s="68">
        <f t="shared" si="3"/>
        <v>580.01</v>
      </c>
      <c r="U10" s="68"/>
      <c r="V10" s="91">
        <v>1.45</v>
      </c>
      <c r="W10" s="91"/>
      <c r="X10" s="68">
        <f t="shared" si="4"/>
        <v>581.46</v>
      </c>
      <c r="Y10" s="68"/>
      <c r="Z10" s="91"/>
      <c r="AA10" s="91"/>
      <c r="AB10" s="68">
        <f t="shared" si="5"/>
        <v>581.46</v>
      </c>
      <c r="AC10" s="68"/>
      <c r="AD10" s="91"/>
      <c r="AE10" s="91"/>
      <c r="AF10" s="68">
        <f t="shared" si="6"/>
        <v>581.46</v>
      </c>
      <c r="AG10" s="68"/>
      <c r="AH10" s="91"/>
      <c r="AI10" s="91"/>
      <c r="AJ10" s="68">
        <f t="shared" si="7"/>
        <v>581.46</v>
      </c>
      <c r="AK10" s="68"/>
      <c r="AL10" s="91"/>
      <c r="AM10" s="91"/>
      <c r="AN10" s="68">
        <f t="shared" si="8"/>
        <v>581.46</v>
      </c>
      <c r="AO10" s="68"/>
      <c r="AP10" s="91"/>
      <c r="AQ10" s="91"/>
      <c r="AR10" s="68">
        <f t="shared" ref="AR10:AR15" si="9">AN10+AP10-AQ10</f>
        <v>581.46</v>
      </c>
      <c r="AS10" s="68"/>
      <c r="AT10" s="91">
        <v>1.45</v>
      </c>
      <c r="AU10" s="91"/>
      <c r="AV10" s="68">
        <f>AR10+AT10-AU10</f>
        <v>582.91000000000008</v>
      </c>
      <c r="AW10" s="68"/>
      <c r="AX10" s="91"/>
      <c r="AY10" s="91"/>
      <c r="AZ10" s="68">
        <f>AV10+AX10-AY10</f>
        <v>582.91000000000008</v>
      </c>
      <c r="BA10" s="68"/>
      <c r="BB10" s="152">
        <f>+F10+J10+N10+R10+V10+Z10+AD10+AH10+AL10+AP10+AT10+AX10</f>
        <v>2.9</v>
      </c>
      <c r="BC10" s="152">
        <f>+G10+K10+O10+S10+W10+AA10+AE10+AI10+AM10+AQ10</f>
        <v>0</v>
      </c>
      <c r="BD10" s="200">
        <f>D10+BB10-BC10</f>
        <v>582.91</v>
      </c>
      <c r="BE10" s="200"/>
    </row>
    <row r="11" spans="1:57" x14ac:dyDescent="0.5">
      <c r="A11" s="67">
        <v>4</v>
      </c>
      <c r="B11" s="81" t="s">
        <v>170</v>
      </c>
      <c r="C11" s="67">
        <v>37</v>
      </c>
      <c r="D11" s="170">
        <v>19623.36</v>
      </c>
      <c r="E11" s="170"/>
      <c r="F11" s="91"/>
      <c r="G11" s="91"/>
      <c r="H11" s="68">
        <f t="shared" si="0"/>
        <v>19623.36</v>
      </c>
      <c r="I11" s="68"/>
      <c r="J11" s="91"/>
      <c r="K11" s="91"/>
      <c r="L11" s="68">
        <f t="shared" si="1"/>
        <v>19623.36</v>
      </c>
      <c r="M11" s="68"/>
      <c r="N11" s="91"/>
      <c r="O11" s="91"/>
      <c r="P11" s="68">
        <f t="shared" si="2"/>
        <v>19623.36</v>
      </c>
      <c r="Q11" s="68"/>
      <c r="R11" s="91"/>
      <c r="S11" s="91"/>
      <c r="T11" s="68">
        <f t="shared" si="3"/>
        <v>19623.36</v>
      </c>
      <c r="U11" s="68"/>
      <c r="V11" s="91">
        <v>48.92</v>
      </c>
      <c r="W11" s="91"/>
      <c r="X11" s="68">
        <f t="shared" si="4"/>
        <v>19672.28</v>
      </c>
      <c r="Y11" s="68"/>
      <c r="Z11" s="91"/>
      <c r="AA11" s="91"/>
      <c r="AB11" s="68">
        <f t="shared" si="5"/>
        <v>19672.28</v>
      </c>
      <c r="AC11" s="68"/>
      <c r="AD11" s="91"/>
      <c r="AE11" s="91"/>
      <c r="AF11" s="68">
        <f t="shared" si="6"/>
        <v>19672.28</v>
      </c>
      <c r="AG11" s="68"/>
      <c r="AH11" s="91">
        <v>170360</v>
      </c>
      <c r="AI11" s="91"/>
      <c r="AJ11" s="68">
        <f t="shared" si="7"/>
        <v>190032.28</v>
      </c>
      <c r="AK11" s="68"/>
      <c r="AL11" s="91"/>
      <c r="AM11" s="91">
        <v>11280</v>
      </c>
      <c r="AN11" s="68">
        <f t="shared" si="8"/>
        <v>178752.28</v>
      </c>
      <c r="AO11" s="68"/>
      <c r="AP11" s="91"/>
      <c r="AQ11" s="91">
        <v>22560</v>
      </c>
      <c r="AR11" s="68">
        <f t="shared" si="9"/>
        <v>156192.28</v>
      </c>
      <c r="AS11" s="68"/>
      <c r="AT11" s="91">
        <v>231.08</v>
      </c>
      <c r="AU11" s="91">
        <v>11280</v>
      </c>
      <c r="AV11" s="68">
        <f>AR11+AT11-AU11</f>
        <v>145143.35999999999</v>
      </c>
      <c r="AW11" s="68"/>
      <c r="AX11" s="91"/>
      <c r="AY11" s="91">
        <v>11280</v>
      </c>
      <c r="AZ11" s="68">
        <f>AV11+AX11-AY11</f>
        <v>133863.35999999999</v>
      </c>
      <c r="BA11" s="68"/>
      <c r="BB11" s="152">
        <f>+F11+J11+N11+R11+V11+Z11+AD11+AH11+AL11+AP11+AT11+AX11</f>
        <v>170640</v>
      </c>
      <c r="BC11" s="152">
        <f>+G11+K11+O11+S11+W11+AA11+AE11+AI11+AM11+AQ11+AU11+AY11</f>
        <v>56400</v>
      </c>
      <c r="BD11" s="200">
        <f>D11+BB11-BC11</f>
        <v>133863.35999999999</v>
      </c>
      <c r="BE11" s="200"/>
    </row>
    <row r="12" spans="1:57" x14ac:dyDescent="0.5">
      <c r="A12" s="67">
        <v>5</v>
      </c>
      <c r="B12" s="81" t="s">
        <v>44</v>
      </c>
      <c r="C12" s="67">
        <v>41</v>
      </c>
      <c r="D12" s="170">
        <f>'งบทดลองส่งรายเดือนปี59-60'!CR11+'งบทดลองส่งรายเดือนปี59-60'!CT11-'งบทดลองส่งรายเดือนปี59-60'!CU11</f>
        <v>378407.3</v>
      </c>
      <c r="E12" s="170"/>
      <c r="F12" s="91"/>
      <c r="G12" s="91"/>
      <c r="H12" s="68">
        <f t="shared" si="0"/>
        <v>378407.3</v>
      </c>
      <c r="I12" s="68"/>
      <c r="J12" s="91"/>
      <c r="K12" s="91"/>
      <c r="L12" s="68">
        <f t="shared" si="1"/>
        <v>378407.3</v>
      </c>
      <c r="M12" s="68"/>
      <c r="N12" s="91"/>
      <c r="O12" s="91"/>
      <c r="P12" s="68">
        <f t="shared" si="2"/>
        <v>378407.3</v>
      </c>
      <c r="Q12" s="68"/>
      <c r="R12" s="91"/>
      <c r="S12" s="91"/>
      <c r="T12" s="68">
        <f t="shared" si="3"/>
        <v>378407.3</v>
      </c>
      <c r="U12" s="68"/>
      <c r="V12" s="91"/>
      <c r="W12" s="91"/>
      <c r="X12" s="68">
        <f t="shared" si="4"/>
        <v>378407.3</v>
      </c>
      <c r="Y12" s="68"/>
      <c r="Z12" s="91"/>
      <c r="AA12" s="91"/>
      <c r="AB12" s="68">
        <f t="shared" si="5"/>
        <v>378407.3</v>
      </c>
      <c r="AC12" s="68"/>
      <c r="AD12" s="91"/>
      <c r="AE12" s="91"/>
      <c r="AF12" s="68">
        <f t="shared" si="6"/>
        <v>378407.3</v>
      </c>
      <c r="AG12" s="68"/>
      <c r="AH12" s="91"/>
      <c r="AI12" s="91"/>
      <c r="AJ12" s="68">
        <f t="shared" si="7"/>
        <v>378407.3</v>
      </c>
      <c r="AK12" s="68"/>
      <c r="AL12" s="91"/>
      <c r="AM12" s="91"/>
      <c r="AN12" s="68">
        <f t="shared" si="8"/>
        <v>378407.3</v>
      </c>
      <c r="AO12" s="68"/>
      <c r="AP12" s="91"/>
      <c r="AQ12" s="91"/>
      <c r="AR12" s="68">
        <f t="shared" si="9"/>
        <v>378407.3</v>
      </c>
      <c r="AS12" s="68"/>
      <c r="AT12" s="91"/>
      <c r="AU12" s="91"/>
      <c r="AV12" s="68">
        <f t="shared" ref="AV12:AV15" si="10">BD12+AT12-AU12</f>
        <v>378407.3</v>
      </c>
      <c r="AW12" s="68"/>
      <c r="AX12" s="91"/>
      <c r="AY12" s="91"/>
      <c r="AZ12" s="68">
        <f>AV12+AX12-AY12</f>
        <v>378407.3</v>
      </c>
      <c r="BA12" s="68"/>
      <c r="BB12" s="152"/>
      <c r="BC12" s="152">
        <f>+G12+K12+O12+S12+W12+AA12+AE12+AI12+AM12+AQ12+AU12+AY12</f>
        <v>0</v>
      </c>
      <c r="BD12" s="200">
        <f>D12+BB12-BC12</f>
        <v>378407.3</v>
      </c>
      <c r="BE12" s="200"/>
    </row>
    <row r="13" spans="1:57" x14ac:dyDescent="0.5">
      <c r="A13" s="67">
        <v>6</v>
      </c>
      <c r="B13" s="81" t="s">
        <v>45</v>
      </c>
      <c r="C13" s="67">
        <v>39</v>
      </c>
      <c r="D13" s="170">
        <f>'งบทดลองส่งรายเดือนปี59-60'!CR12+'งบทดลองส่งรายเดือนปี59-60'!CT12-'งบทดลองส่งรายเดือนปี59-60'!CU12</f>
        <v>0</v>
      </c>
      <c r="E13" s="170">
        <f>+'งบทดลองส่งรายเดือนปี59-60'!CS12</f>
        <v>378407.3</v>
      </c>
      <c r="F13" s="91"/>
      <c r="G13" s="91"/>
      <c r="H13" s="68">
        <f t="shared" si="0"/>
        <v>0</v>
      </c>
      <c r="I13" s="68">
        <f>+E13</f>
        <v>378407.3</v>
      </c>
      <c r="J13" s="91"/>
      <c r="K13" s="91"/>
      <c r="L13" s="68">
        <f t="shared" si="1"/>
        <v>0</v>
      </c>
      <c r="M13" s="68">
        <f>+I13</f>
        <v>378407.3</v>
      </c>
      <c r="N13" s="91"/>
      <c r="O13" s="91"/>
      <c r="P13" s="68">
        <f t="shared" si="2"/>
        <v>0</v>
      </c>
      <c r="Q13" s="68">
        <f>+M13</f>
        <v>378407.3</v>
      </c>
      <c r="R13" s="91"/>
      <c r="S13" s="91"/>
      <c r="T13" s="68">
        <f t="shared" si="3"/>
        <v>0</v>
      </c>
      <c r="U13" s="68">
        <f>+Q13</f>
        <v>378407.3</v>
      </c>
      <c r="V13" s="91"/>
      <c r="W13" s="91"/>
      <c r="X13" s="68">
        <f t="shared" si="4"/>
        <v>0</v>
      </c>
      <c r="Y13" s="68">
        <f>+U13</f>
        <v>378407.3</v>
      </c>
      <c r="Z13" s="91"/>
      <c r="AA13" s="91"/>
      <c r="AB13" s="68">
        <f t="shared" si="5"/>
        <v>0</v>
      </c>
      <c r="AC13" s="68">
        <f>+Y13</f>
        <v>378407.3</v>
      </c>
      <c r="AD13" s="91"/>
      <c r="AE13" s="91"/>
      <c r="AF13" s="68">
        <f t="shared" si="6"/>
        <v>0</v>
      </c>
      <c r="AG13" s="68">
        <f>+AC13</f>
        <v>378407.3</v>
      </c>
      <c r="AH13" s="91"/>
      <c r="AI13" s="91"/>
      <c r="AJ13" s="68">
        <f t="shared" si="7"/>
        <v>0</v>
      </c>
      <c r="AK13" s="68">
        <f>+AG13</f>
        <v>378407.3</v>
      </c>
      <c r="AL13" s="91"/>
      <c r="AM13" s="91"/>
      <c r="AN13" s="68">
        <f t="shared" si="8"/>
        <v>0</v>
      </c>
      <c r="AO13" s="68">
        <f>+AK13</f>
        <v>378407.3</v>
      </c>
      <c r="AP13" s="91"/>
      <c r="AQ13" s="91"/>
      <c r="AR13" s="68">
        <f t="shared" si="9"/>
        <v>0</v>
      </c>
      <c r="AS13" s="68">
        <f>+AO13</f>
        <v>378407.3</v>
      </c>
      <c r="AT13" s="91"/>
      <c r="AU13" s="91"/>
      <c r="AV13" s="68">
        <f t="shared" si="10"/>
        <v>0</v>
      </c>
      <c r="AW13" s="68">
        <f>+BE13</f>
        <v>378407.3</v>
      </c>
      <c r="AX13" s="91"/>
      <c r="AY13" s="91"/>
      <c r="AZ13" s="68"/>
      <c r="BA13" s="68">
        <f>AW13+AY13-AX13</f>
        <v>378407.3</v>
      </c>
      <c r="BB13" s="152">
        <f t="shared" ref="BB13:BB16" si="11">+F13+J13+N13+R13+V13+Z13+AD13+AH13+AL13+AP13</f>
        <v>0</v>
      </c>
      <c r="BC13" s="152"/>
      <c r="BD13" s="200"/>
      <c r="BE13" s="200">
        <f>E13+BC13-BB13</f>
        <v>378407.3</v>
      </c>
    </row>
    <row r="14" spans="1:57" x14ac:dyDescent="0.5">
      <c r="A14" s="67">
        <v>7</v>
      </c>
      <c r="B14" s="81" t="s">
        <v>82</v>
      </c>
      <c r="C14" s="67">
        <v>57</v>
      </c>
      <c r="D14" s="170">
        <f>'งบทดลองส่งรายเดือนปี59-60'!CR13+'งบทดลองส่งรายเดือนปี59-60'!CT13-'งบทดลองส่งรายเดือนปี59-60'!CU13</f>
        <v>0</v>
      </c>
      <c r="E14" s="170">
        <f>+'งบทดลองส่งรายเดือนปี59-60'!CS13</f>
        <v>0</v>
      </c>
      <c r="F14" s="91"/>
      <c r="G14" s="91"/>
      <c r="H14" s="68">
        <f t="shared" si="0"/>
        <v>0</v>
      </c>
      <c r="I14" s="68">
        <f>+E14</f>
        <v>0</v>
      </c>
      <c r="J14" s="91"/>
      <c r="K14" s="91"/>
      <c r="L14" s="68">
        <f t="shared" si="1"/>
        <v>0</v>
      </c>
      <c r="M14" s="68">
        <f>+I14</f>
        <v>0</v>
      </c>
      <c r="N14" s="91"/>
      <c r="O14" s="91"/>
      <c r="P14" s="68">
        <f t="shared" si="2"/>
        <v>0</v>
      </c>
      <c r="Q14" s="68">
        <f>+M14</f>
        <v>0</v>
      </c>
      <c r="R14" s="91"/>
      <c r="S14" s="91"/>
      <c r="T14" s="68">
        <f t="shared" si="3"/>
        <v>0</v>
      </c>
      <c r="U14" s="68">
        <f>+Q14</f>
        <v>0</v>
      </c>
      <c r="V14" s="91"/>
      <c r="W14" s="91"/>
      <c r="X14" s="68">
        <f t="shared" si="4"/>
        <v>0</v>
      </c>
      <c r="Y14" s="68">
        <f>+U14</f>
        <v>0</v>
      </c>
      <c r="Z14" s="91"/>
      <c r="AA14" s="91"/>
      <c r="AB14" s="68">
        <f t="shared" si="5"/>
        <v>0</v>
      </c>
      <c r="AC14" s="68">
        <f>+Y14</f>
        <v>0</v>
      </c>
      <c r="AD14" s="91"/>
      <c r="AE14" s="91"/>
      <c r="AF14" s="68">
        <f t="shared" si="6"/>
        <v>0</v>
      </c>
      <c r="AG14" s="68">
        <f>+AC14</f>
        <v>0</v>
      </c>
      <c r="AH14" s="91">
        <v>170360</v>
      </c>
      <c r="AI14" s="91">
        <v>170360</v>
      </c>
      <c r="AJ14" s="68">
        <f t="shared" si="7"/>
        <v>0</v>
      </c>
      <c r="AK14" s="68">
        <f>+AG14</f>
        <v>0</v>
      </c>
      <c r="AL14" s="91"/>
      <c r="AM14" s="91"/>
      <c r="AN14" s="68">
        <f t="shared" si="8"/>
        <v>0</v>
      </c>
      <c r="AO14" s="68">
        <f>+AK14</f>
        <v>0</v>
      </c>
      <c r="AP14" s="91"/>
      <c r="AQ14" s="91"/>
      <c r="AR14" s="68">
        <f t="shared" si="9"/>
        <v>0</v>
      </c>
      <c r="AS14" s="68">
        <f>+AO14</f>
        <v>0</v>
      </c>
      <c r="AT14" s="91"/>
      <c r="AU14" s="91"/>
      <c r="AV14" s="68">
        <f t="shared" si="10"/>
        <v>0</v>
      </c>
      <c r="AW14" s="68">
        <f>+BE14</f>
        <v>0</v>
      </c>
      <c r="AX14" s="91"/>
      <c r="AY14" s="91"/>
      <c r="AZ14" s="68">
        <f t="shared" ref="AZ14" si="12">BH14+AX14-AY14</f>
        <v>0</v>
      </c>
      <c r="BA14" s="68">
        <f>+BI14</f>
        <v>0</v>
      </c>
      <c r="BB14" s="152">
        <f t="shared" si="11"/>
        <v>170360</v>
      </c>
      <c r="BC14" s="152">
        <f t="shared" ref="BC14:BC32" si="13">+G14+K14+O14+S14+W14+AA14+AE14+AI14+AM14+AQ14</f>
        <v>170360</v>
      </c>
      <c r="BD14" s="200">
        <f>AP14+AR14-AS14</f>
        <v>0</v>
      </c>
      <c r="BE14" s="200">
        <f>+AQ14</f>
        <v>0</v>
      </c>
    </row>
    <row r="15" spans="1:57" x14ac:dyDescent="0.5">
      <c r="A15" s="67">
        <v>8</v>
      </c>
      <c r="B15" s="81" t="s">
        <v>46</v>
      </c>
      <c r="C15" s="67">
        <v>43</v>
      </c>
      <c r="D15" s="170">
        <v>371875.78</v>
      </c>
      <c r="E15" s="170">
        <f>+'งบทดลองส่งรายเดือนปี59-60'!CS14</f>
        <v>0</v>
      </c>
      <c r="F15" s="91"/>
      <c r="G15" s="91"/>
      <c r="H15" s="68">
        <f t="shared" si="0"/>
        <v>371875.78</v>
      </c>
      <c r="I15" s="68">
        <f>+E15</f>
        <v>0</v>
      </c>
      <c r="J15" s="91"/>
      <c r="K15" s="91"/>
      <c r="L15" s="68">
        <f t="shared" si="1"/>
        <v>371875.78</v>
      </c>
      <c r="M15" s="68">
        <f>+I15</f>
        <v>0</v>
      </c>
      <c r="N15" s="91"/>
      <c r="O15" s="91"/>
      <c r="P15" s="68">
        <f t="shared" si="2"/>
        <v>371875.78</v>
      </c>
      <c r="Q15" s="68">
        <f>+M15</f>
        <v>0</v>
      </c>
      <c r="R15" s="91"/>
      <c r="S15" s="91"/>
      <c r="T15" s="68">
        <f t="shared" si="3"/>
        <v>371875.78</v>
      </c>
      <c r="U15" s="68">
        <f>+Q15</f>
        <v>0</v>
      </c>
      <c r="V15" s="91"/>
      <c r="W15" s="91"/>
      <c r="X15" s="68">
        <f t="shared" si="4"/>
        <v>371875.78</v>
      </c>
      <c r="Y15" s="68">
        <f>+U15</f>
        <v>0</v>
      </c>
      <c r="Z15" s="91"/>
      <c r="AA15" s="91"/>
      <c r="AB15" s="68">
        <f t="shared" si="5"/>
        <v>371875.78</v>
      </c>
      <c r="AC15" s="68">
        <f>+Y15</f>
        <v>0</v>
      </c>
      <c r="AD15" s="91"/>
      <c r="AE15" s="91"/>
      <c r="AF15" s="68">
        <f t="shared" si="6"/>
        <v>371875.78</v>
      </c>
      <c r="AG15" s="68">
        <f>+AC15</f>
        <v>0</v>
      </c>
      <c r="AH15" s="91"/>
      <c r="AI15" s="91"/>
      <c r="AJ15" s="68">
        <f t="shared" si="7"/>
        <v>371875.78</v>
      </c>
      <c r="AK15" s="68">
        <f>+AG15</f>
        <v>0</v>
      </c>
      <c r="AL15" s="91"/>
      <c r="AM15" s="91"/>
      <c r="AN15" s="68">
        <f t="shared" si="8"/>
        <v>371875.78</v>
      </c>
      <c r="AO15" s="68">
        <f>+AK15</f>
        <v>0</v>
      </c>
      <c r="AP15" s="91"/>
      <c r="AQ15" s="91"/>
      <c r="AR15" s="68">
        <f t="shared" si="9"/>
        <v>371875.78</v>
      </c>
      <c r="AS15" s="68">
        <f>+AO15</f>
        <v>0</v>
      </c>
      <c r="AT15" s="91"/>
      <c r="AU15" s="91"/>
      <c r="AV15" s="68">
        <f t="shared" si="10"/>
        <v>371875.78</v>
      </c>
      <c r="AW15" s="68">
        <f>+BE15</f>
        <v>0</v>
      </c>
      <c r="AX15" s="91"/>
      <c r="AY15" s="91"/>
      <c r="AZ15" s="68">
        <f>AV15+AX15-AY15</f>
        <v>371875.78</v>
      </c>
      <c r="BA15" s="68">
        <f>+BI15</f>
        <v>0</v>
      </c>
      <c r="BB15" s="152">
        <f t="shared" si="11"/>
        <v>0</v>
      </c>
      <c r="BC15" s="152">
        <f t="shared" si="13"/>
        <v>0</v>
      </c>
      <c r="BD15" s="200">
        <f>D15+BB15-BC15</f>
        <v>371875.78</v>
      </c>
      <c r="BE15" s="200">
        <f>+AQ15</f>
        <v>0</v>
      </c>
    </row>
    <row r="16" spans="1:57" x14ac:dyDescent="0.5">
      <c r="A16" s="67">
        <v>9</v>
      </c>
      <c r="B16" s="81" t="s">
        <v>190</v>
      </c>
      <c r="C16" s="67"/>
      <c r="D16" s="170"/>
      <c r="E16" s="170">
        <v>371875.78</v>
      </c>
      <c r="F16" s="91"/>
      <c r="G16" s="91"/>
      <c r="H16" s="68"/>
      <c r="I16" s="68">
        <f>E16</f>
        <v>371875.78</v>
      </c>
      <c r="J16" s="91"/>
      <c r="K16" s="91"/>
      <c r="L16" s="68"/>
      <c r="M16" s="68">
        <f>I16</f>
        <v>371875.78</v>
      </c>
      <c r="N16" s="91"/>
      <c r="O16" s="91"/>
      <c r="P16" s="68"/>
      <c r="Q16" s="68">
        <f>M16</f>
        <v>371875.78</v>
      </c>
      <c r="R16" s="91"/>
      <c r="S16" s="91"/>
      <c r="T16" s="68"/>
      <c r="U16" s="68">
        <f>Q16</f>
        <v>371875.78</v>
      </c>
      <c r="V16" s="91"/>
      <c r="W16" s="91"/>
      <c r="X16" s="68"/>
      <c r="Y16" s="68">
        <f>U16</f>
        <v>371875.78</v>
      </c>
      <c r="Z16" s="91"/>
      <c r="AA16" s="91"/>
      <c r="AB16" s="68"/>
      <c r="AC16" s="68">
        <f>Y16</f>
        <v>371875.78</v>
      </c>
      <c r="AD16" s="91"/>
      <c r="AE16" s="91"/>
      <c r="AF16" s="68"/>
      <c r="AG16" s="68">
        <f>AC16</f>
        <v>371875.78</v>
      </c>
      <c r="AH16" s="91"/>
      <c r="AI16" s="91"/>
      <c r="AJ16" s="68"/>
      <c r="AK16" s="68">
        <f>AG16</f>
        <v>371875.78</v>
      </c>
      <c r="AL16" s="91"/>
      <c r="AM16" s="91"/>
      <c r="AN16" s="68"/>
      <c r="AO16" s="68">
        <f>AK16</f>
        <v>371875.78</v>
      </c>
      <c r="AP16" s="91"/>
      <c r="AQ16" s="91"/>
      <c r="AR16" s="68"/>
      <c r="AS16" s="68">
        <f>AO16</f>
        <v>371875.78</v>
      </c>
      <c r="AT16" s="91"/>
      <c r="AU16" s="91"/>
      <c r="AV16" s="68"/>
      <c r="AW16" s="68">
        <f>BE16</f>
        <v>371875.78</v>
      </c>
      <c r="AX16" s="91"/>
      <c r="AY16" s="91"/>
      <c r="AZ16" s="68"/>
      <c r="BA16" s="68">
        <f>AW16+AY16-AX16</f>
        <v>371875.78</v>
      </c>
      <c r="BB16" s="152">
        <f t="shared" si="11"/>
        <v>0</v>
      </c>
      <c r="BC16" s="152"/>
      <c r="BD16" s="200"/>
      <c r="BE16" s="200">
        <f>E16+BC16-BB16</f>
        <v>371875.78</v>
      </c>
    </row>
    <row r="17" spans="1:57" x14ac:dyDescent="0.5">
      <c r="A17" s="67">
        <v>10</v>
      </c>
      <c r="B17" s="81" t="s">
        <v>47</v>
      </c>
      <c r="C17" s="67">
        <v>47</v>
      </c>
      <c r="D17" s="170">
        <v>567562.69999999995</v>
      </c>
      <c r="E17" s="170"/>
      <c r="F17" s="91"/>
      <c r="G17" s="91">
        <v>1300</v>
      </c>
      <c r="H17" s="68">
        <f t="shared" ref="H17:H37" si="14">D17+F17-G17</f>
        <v>566262.69999999995</v>
      </c>
      <c r="I17" s="68"/>
      <c r="J17" s="91"/>
      <c r="K17" s="91">
        <v>19970</v>
      </c>
      <c r="L17" s="68">
        <f t="shared" ref="L17:L37" si="15">H17+J17-K17</f>
        <v>546292.69999999995</v>
      </c>
      <c r="M17" s="68"/>
      <c r="N17" s="91"/>
      <c r="O17" s="91"/>
      <c r="P17" s="68">
        <f t="shared" ref="P17:P37" si="16">L17+N17-O17</f>
        <v>546292.69999999995</v>
      </c>
      <c r="Q17" s="68"/>
      <c r="R17" s="91"/>
      <c r="S17" s="91"/>
      <c r="T17" s="68">
        <f>P17+R17-S17</f>
        <v>546292.69999999995</v>
      </c>
      <c r="U17" s="68"/>
      <c r="V17" s="91"/>
      <c r="W17" s="91"/>
      <c r="X17" s="68">
        <f>T17+V17-W17</f>
        <v>546292.69999999995</v>
      </c>
      <c r="Y17" s="68"/>
      <c r="Z17" s="91"/>
      <c r="AA17" s="91">
        <v>11010</v>
      </c>
      <c r="AB17" s="68">
        <f>X17+Z17-AA17</f>
        <v>535282.69999999995</v>
      </c>
      <c r="AC17" s="68"/>
      <c r="AD17" s="91"/>
      <c r="AE17" s="91"/>
      <c r="AF17" s="68">
        <f>AB17+AD17-AE17</f>
        <v>535282.69999999995</v>
      </c>
      <c r="AG17" s="68"/>
      <c r="AH17" s="91"/>
      <c r="AI17" s="91"/>
      <c r="AJ17" s="68">
        <f>AF17+AH17-AI17</f>
        <v>535282.69999999995</v>
      </c>
      <c r="AK17" s="68"/>
      <c r="AL17" s="91">
        <v>7690</v>
      </c>
      <c r="AM17" s="91"/>
      <c r="AN17" s="68">
        <f>AJ17+AL17-AM17</f>
        <v>542972.69999999995</v>
      </c>
      <c r="AO17" s="68"/>
      <c r="AP17" s="91">
        <v>3500</v>
      </c>
      <c r="AQ17" s="91">
        <v>1000</v>
      </c>
      <c r="AR17" s="68">
        <f>AN17+AP17-AQ17</f>
        <v>545472.69999999995</v>
      </c>
      <c r="AS17" s="68"/>
      <c r="AT17" s="91"/>
      <c r="AU17" s="91"/>
      <c r="AV17" s="68">
        <f>BD17+AT17-AU17</f>
        <v>545472.69999999995</v>
      </c>
      <c r="AW17" s="68"/>
      <c r="AX17" s="91"/>
      <c r="AY17" s="91"/>
      <c r="AZ17" s="68">
        <f>AV17+AX17-AY17</f>
        <v>545472.69999999995</v>
      </c>
      <c r="BA17" s="68">
        <f t="shared" ref="BA17:BA18" si="17">BI17</f>
        <v>0</v>
      </c>
      <c r="BB17" s="152">
        <f>+F17+J17+N17+R17+V17+Z17+AD17+AH17+AL17+AP17+AT17+AX17</f>
        <v>11190</v>
      </c>
      <c r="BC17" s="152">
        <f>+G17+K17+O17+S17+W17+AA17+AE17+AI17+AM17+AQ17+AU17+AY17</f>
        <v>33280</v>
      </c>
      <c r="BD17" s="200">
        <f>D17+BB17-BC17</f>
        <v>545472.69999999995</v>
      </c>
      <c r="BE17" s="200"/>
    </row>
    <row r="18" spans="1:57" x14ac:dyDescent="0.5">
      <c r="A18" s="67">
        <v>11</v>
      </c>
      <c r="B18" s="81" t="s">
        <v>163</v>
      </c>
      <c r="C18" s="67"/>
      <c r="D18" s="170">
        <v>21730</v>
      </c>
      <c r="E18" s="170"/>
      <c r="F18" s="91"/>
      <c r="G18" s="91"/>
      <c r="H18" s="68">
        <f>D18+F18-G18</f>
        <v>21730</v>
      </c>
      <c r="I18" s="68"/>
      <c r="J18" s="91"/>
      <c r="K18" s="91"/>
      <c r="L18" s="68">
        <f>H18+J18-K18</f>
        <v>21730</v>
      </c>
      <c r="M18" s="68"/>
      <c r="N18" s="91"/>
      <c r="O18" s="91">
        <v>500</v>
      </c>
      <c r="P18" s="68">
        <f>L18+N18-O18</f>
        <v>21230</v>
      </c>
      <c r="Q18" s="68"/>
      <c r="R18" s="91"/>
      <c r="S18" s="91">
        <v>1000</v>
      </c>
      <c r="T18" s="68">
        <f>P18+R18-S18</f>
        <v>20230</v>
      </c>
      <c r="U18" s="68"/>
      <c r="V18" s="91"/>
      <c r="W18" s="91"/>
      <c r="X18" s="68">
        <f>T18+V18-W18</f>
        <v>20230</v>
      </c>
      <c r="Y18" s="68"/>
      <c r="Z18" s="91">
        <v>790</v>
      </c>
      <c r="AA18" s="91"/>
      <c r="AB18" s="68">
        <f>X18+Z18-AA18</f>
        <v>21020</v>
      </c>
      <c r="AC18" s="68"/>
      <c r="AD18" s="91"/>
      <c r="AE18" s="91">
        <v>2250</v>
      </c>
      <c r="AF18" s="68">
        <f>AB18+AD18-AE18</f>
        <v>18770</v>
      </c>
      <c r="AG18" s="68"/>
      <c r="AH18" s="91">
        <v>4100</v>
      </c>
      <c r="AI18" s="91"/>
      <c r="AJ18" s="68">
        <f>AF18+AH18-AI18</f>
        <v>22870</v>
      </c>
      <c r="AK18" s="68"/>
      <c r="AL18" s="91"/>
      <c r="AM18" s="91">
        <v>1690</v>
      </c>
      <c r="AN18" s="68">
        <f>AJ18+AL18-AM18</f>
        <v>21180</v>
      </c>
      <c r="AO18" s="68"/>
      <c r="AP18" s="91">
        <v>19680</v>
      </c>
      <c r="AQ18" s="91">
        <v>2130</v>
      </c>
      <c r="AR18" s="68">
        <f>AN18+AP18-AQ18</f>
        <v>38730</v>
      </c>
      <c r="AS18" s="68"/>
      <c r="AT18" s="91"/>
      <c r="AU18" s="91"/>
      <c r="AV18" s="68">
        <f>AR18+AT18-AU18</f>
        <v>38730</v>
      </c>
      <c r="AW18" s="68"/>
      <c r="AX18" s="91"/>
      <c r="AY18" s="91">
        <v>1400</v>
      </c>
      <c r="AZ18" s="68">
        <f>AV18+AX18-AY18</f>
        <v>37330</v>
      </c>
      <c r="BA18" s="68">
        <f t="shared" si="17"/>
        <v>0</v>
      </c>
      <c r="BB18" s="152">
        <f>+F18+J18+N18+R18+V18+Z18+AD18+AH18+AL18+AP18+AT18+AX18</f>
        <v>24570</v>
      </c>
      <c r="BC18" s="152">
        <f>+G18+K18+O18+S18+W18+AA18+AE18+AI18+AM18+AQ18+AU18+AY18</f>
        <v>8970</v>
      </c>
      <c r="BD18" s="200">
        <f>D18+BB18-BC18</f>
        <v>37330</v>
      </c>
      <c r="BE18" s="200"/>
    </row>
    <row r="19" spans="1:57" x14ac:dyDescent="0.5">
      <c r="A19" s="67">
        <v>12</v>
      </c>
      <c r="B19" s="81" t="s">
        <v>48</v>
      </c>
      <c r="C19" s="67">
        <v>45</v>
      </c>
      <c r="D19" s="170">
        <f>'งบทดลองส่งรายเดือนปี59-60'!CR17+'งบทดลองส่งรายเดือนปี59-60'!CT17-'งบทดลองส่งรายเดือนปี59-60'!CU17</f>
        <v>0</v>
      </c>
      <c r="E19" s="170">
        <v>447916.7</v>
      </c>
      <c r="F19" s="91"/>
      <c r="G19" s="91"/>
      <c r="H19" s="68">
        <f t="shared" si="14"/>
        <v>0</v>
      </c>
      <c r="I19" s="68">
        <f>+E19</f>
        <v>447916.7</v>
      </c>
      <c r="J19" s="91"/>
      <c r="K19" s="91"/>
      <c r="L19" s="68">
        <f t="shared" si="15"/>
        <v>0</v>
      </c>
      <c r="M19" s="68">
        <f>+I19</f>
        <v>447916.7</v>
      </c>
      <c r="N19" s="91"/>
      <c r="O19" s="91"/>
      <c r="P19" s="68">
        <f t="shared" si="16"/>
        <v>0</v>
      </c>
      <c r="Q19" s="68">
        <f>+M19</f>
        <v>447916.7</v>
      </c>
      <c r="R19" s="91"/>
      <c r="S19" s="91"/>
      <c r="T19" s="68"/>
      <c r="U19" s="68">
        <f>+Q19</f>
        <v>447916.7</v>
      </c>
      <c r="V19" s="91"/>
      <c r="W19" s="91"/>
      <c r="X19" s="68"/>
      <c r="Y19" s="68">
        <f>+U19</f>
        <v>447916.7</v>
      </c>
      <c r="Z19" s="91"/>
      <c r="AA19" s="91"/>
      <c r="AB19" s="68"/>
      <c r="AC19" s="68">
        <f>+Y19</f>
        <v>447916.7</v>
      </c>
      <c r="AD19" s="91"/>
      <c r="AE19" s="91"/>
      <c r="AF19" s="68"/>
      <c r="AG19" s="68">
        <f>+AC19</f>
        <v>447916.7</v>
      </c>
      <c r="AH19" s="91"/>
      <c r="AI19" s="91"/>
      <c r="AJ19" s="68"/>
      <c r="AK19" s="68">
        <f>+AG19</f>
        <v>447916.7</v>
      </c>
      <c r="AL19" s="91"/>
      <c r="AM19" s="91"/>
      <c r="AN19" s="68"/>
      <c r="AO19" s="68">
        <f>+AK19</f>
        <v>447916.7</v>
      </c>
      <c r="AP19" s="91"/>
      <c r="AQ19" s="91"/>
      <c r="AR19" s="68"/>
      <c r="AS19" s="68">
        <f>+AO19</f>
        <v>447916.7</v>
      </c>
      <c r="AT19" s="91"/>
      <c r="AU19" s="91"/>
      <c r="AV19" s="68"/>
      <c r="AW19" s="68">
        <f>+BE19</f>
        <v>447916.7</v>
      </c>
      <c r="AX19" s="91"/>
      <c r="AY19" s="91"/>
      <c r="AZ19" s="68">
        <f t="shared" ref="AZ19" si="18">BH19+AX19-AY19</f>
        <v>0</v>
      </c>
      <c r="BA19" s="68">
        <f>AW19+AY19-AX19</f>
        <v>447916.7</v>
      </c>
      <c r="BB19" s="152">
        <f t="shared" ref="BB19:BB26" si="19">D19+F19+J19+N19+R19+V19+Z19+AD19+AH19+AL19+AP19</f>
        <v>0</v>
      </c>
      <c r="BC19" s="152"/>
      <c r="BD19" s="200"/>
      <c r="BE19" s="200">
        <f>E19+BC19-BB19</f>
        <v>447916.7</v>
      </c>
    </row>
    <row r="20" spans="1:57" x14ac:dyDescent="0.5">
      <c r="A20" s="67">
        <v>13</v>
      </c>
      <c r="B20" s="81" t="s">
        <v>135</v>
      </c>
      <c r="C20" s="67">
        <v>147</v>
      </c>
      <c r="D20" s="170">
        <f>'งบทดลองส่งรายเดือนปี59-60'!CR19+'งบทดลองส่งรายเดือนปี59-60'!CT19-'งบทดลองส่งรายเดือนปี59-60'!CU19</f>
        <v>0</v>
      </c>
      <c r="E20" s="170"/>
      <c r="F20" s="91"/>
      <c r="G20" s="91"/>
      <c r="H20" s="68">
        <f t="shared" si="14"/>
        <v>0</v>
      </c>
      <c r="I20" s="68"/>
      <c r="J20" s="91"/>
      <c r="K20" s="91"/>
      <c r="L20" s="68">
        <f t="shared" si="15"/>
        <v>0</v>
      </c>
      <c r="M20" s="68"/>
      <c r="N20" s="91"/>
      <c r="O20" s="91"/>
      <c r="P20" s="68">
        <f t="shared" si="16"/>
        <v>0</v>
      </c>
      <c r="Q20" s="68"/>
      <c r="R20" s="91"/>
      <c r="S20" s="91"/>
      <c r="T20" s="68">
        <f t="shared" ref="T20:T37" si="20">P20+R20-S20</f>
        <v>0</v>
      </c>
      <c r="U20" s="68"/>
      <c r="V20" s="91"/>
      <c r="W20" s="91"/>
      <c r="X20" s="68">
        <f t="shared" ref="X20:X37" si="21">T20+V20-W20</f>
        <v>0</v>
      </c>
      <c r="Y20" s="68"/>
      <c r="Z20" s="91"/>
      <c r="AA20" s="91"/>
      <c r="AB20" s="68">
        <f t="shared" ref="AB20:AB37" si="22">X20+Z20-AA20</f>
        <v>0</v>
      </c>
      <c r="AC20" s="68"/>
      <c r="AD20" s="91"/>
      <c r="AE20" s="91"/>
      <c r="AF20" s="68">
        <f t="shared" ref="AF20:AF37" si="23">AB20+AD20-AE20</f>
        <v>0</v>
      </c>
      <c r="AG20" s="68"/>
      <c r="AH20" s="91"/>
      <c r="AI20" s="91"/>
      <c r="AJ20" s="68">
        <f t="shared" ref="AJ20:AJ37" si="24">AF20+AH20-AI20</f>
        <v>0</v>
      </c>
      <c r="AK20" s="68"/>
      <c r="AL20" s="91"/>
      <c r="AM20" s="91"/>
      <c r="AN20" s="68">
        <f t="shared" ref="AN20:AN37" si="25">AJ20+AL20-AM20</f>
        <v>0</v>
      </c>
      <c r="AO20" s="68"/>
      <c r="AP20" s="91"/>
      <c r="AQ20" s="91"/>
      <c r="AR20" s="68">
        <f t="shared" ref="AR20:AR37" si="26">AN20+AP20-AQ20</f>
        <v>0</v>
      </c>
      <c r="AS20" s="68"/>
      <c r="AT20" s="91"/>
      <c r="AU20" s="91"/>
      <c r="AV20" s="68">
        <f>BD20+AT20-AU20</f>
        <v>0</v>
      </c>
      <c r="AW20" s="68"/>
      <c r="AX20" s="91"/>
      <c r="AY20" s="91"/>
      <c r="AZ20" s="68">
        <f t="shared" ref="AZ20:AZ27" si="27">BH20+AX20-AY20</f>
        <v>0</v>
      </c>
      <c r="BA20" s="68"/>
      <c r="BB20" s="152">
        <f t="shared" si="19"/>
        <v>0</v>
      </c>
      <c r="BC20" s="152">
        <f t="shared" si="13"/>
        <v>0</v>
      </c>
      <c r="BD20" s="200">
        <f>AP20+AR20-AS20</f>
        <v>0</v>
      </c>
      <c r="BE20" s="200"/>
    </row>
    <row r="21" spans="1:57" x14ac:dyDescent="0.5">
      <c r="A21" s="67">
        <v>14</v>
      </c>
      <c r="B21" s="81" t="s">
        <v>7</v>
      </c>
      <c r="C21" s="67">
        <v>53</v>
      </c>
      <c r="D21" s="170">
        <f>'งบทดลองส่งรายเดือนปี59-60'!CR20+'งบทดลองส่งรายเดือนปี59-60'!CT20-'งบทดลองส่งรายเดือนปี59-60'!CU20</f>
        <v>45031</v>
      </c>
      <c r="E21" s="170"/>
      <c r="F21" s="91"/>
      <c r="G21" s="91"/>
      <c r="H21" s="68">
        <f t="shared" si="14"/>
        <v>45031</v>
      </c>
      <c r="I21" s="68"/>
      <c r="J21" s="91"/>
      <c r="K21" s="91"/>
      <c r="L21" s="68">
        <f t="shared" si="15"/>
        <v>45031</v>
      </c>
      <c r="M21" s="68"/>
      <c r="N21" s="91"/>
      <c r="O21" s="91"/>
      <c r="P21" s="68">
        <f t="shared" si="16"/>
        <v>45031</v>
      </c>
      <c r="Q21" s="68"/>
      <c r="R21" s="91"/>
      <c r="S21" s="91"/>
      <c r="T21" s="68">
        <f t="shared" si="20"/>
        <v>45031</v>
      </c>
      <c r="U21" s="68"/>
      <c r="V21" s="91"/>
      <c r="W21" s="91"/>
      <c r="X21" s="68">
        <f t="shared" si="21"/>
        <v>45031</v>
      </c>
      <c r="Y21" s="68"/>
      <c r="Z21" s="91"/>
      <c r="AA21" s="91"/>
      <c r="AB21" s="68">
        <f t="shared" si="22"/>
        <v>45031</v>
      </c>
      <c r="AC21" s="68"/>
      <c r="AD21" s="91"/>
      <c r="AE21" s="91"/>
      <c r="AF21" s="68">
        <f t="shared" si="23"/>
        <v>45031</v>
      </c>
      <c r="AG21" s="68"/>
      <c r="AH21" s="91"/>
      <c r="AI21" s="91"/>
      <c r="AJ21" s="68">
        <f t="shared" si="24"/>
        <v>45031</v>
      </c>
      <c r="AK21" s="68"/>
      <c r="AL21" s="91"/>
      <c r="AM21" s="91"/>
      <c r="AN21" s="68">
        <f t="shared" si="25"/>
        <v>45031</v>
      </c>
      <c r="AO21" s="68"/>
      <c r="AP21" s="91"/>
      <c r="AQ21" s="91"/>
      <c r="AR21" s="68">
        <f t="shared" si="26"/>
        <v>45031</v>
      </c>
      <c r="AS21" s="68"/>
      <c r="AT21" s="91"/>
      <c r="AU21" s="91"/>
      <c r="AV21" s="68">
        <f t="shared" ref="AV21:AV28" si="28">BD21+AT21-AU21</f>
        <v>45031</v>
      </c>
      <c r="AW21" s="68"/>
      <c r="AX21" s="91"/>
      <c r="AY21" s="91"/>
      <c r="AZ21" s="68">
        <f>AV21+AX21-AY21</f>
        <v>45031</v>
      </c>
      <c r="BA21" s="68"/>
      <c r="BB21" s="152"/>
      <c r="BC21" s="152">
        <f t="shared" si="13"/>
        <v>0</v>
      </c>
      <c r="BD21" s="200">
        <f>AR21</f>
        <v>45031</v>
      </c>
      <c r="BE21" s="200"/>
    </row>
    <row r="22" spans="1:57" x14ac:dyDescent="0.5">
      <c r="A22" s="67">
        <v>15</v>
      </c>
      <c r="B22" s="81" t="s">
        <v>49</v>
      </c>
      <c r="C22" s="67">
        <v>55</v>
      </c>
      <c r="D22" s="170">
        <f>'งบทดลองส่งรายเดือนปี59-60'!CR21+'งบทดลองส่งรายเดือนปี59-60'!CT21-'งบทดลองส่งรายเดือนปี59-60'!CU21</f>
        <v>0</v>
      </c>
      <c r="E22" s="170">
        <f>+'งบทดลองส่งรายเดือนปี59-60'!CS21</f>
        <v>45031</v>
      </c>
      <c r="F22" s="91"/>
      <c r="G22" s="91"/>
      <c r="H22" s="68">
        <f t="shared" si="14"/>
        <v>0</v>
      </c>
      <c r="I22" s="68">
        <f>+E22</f>
        <v>45031</v>
      </c>
      <c r="J22" s="91"/>
      <c r="K22" s="91"/>
      <c r="L22" s="68">
        <f t="shared" si="15"/>
        <v>0</v>
      </c>
      <c r="M22" s="68">
        <f>+I22</f>
        <v>45031</v>
      </c>
      <c r="N22" s="91"/>
      <c r="O22" s="91"/>
      <c r="P22" s="68">
        <f t="shared" si="16"/>
        <v>0</v>
      </c>
      <c r="Q22" s="68">
        <f>+M22</f>
        <v>45031</v>
      </c>
      <c r="R22" s="91"/>
      <c r="S22" s="91"/>
      <c r="T22" s="68">
        <f t="shared" si="20"/>
        <v>0</v>
      </c>
      <c r="U22" s="68">
        <f>+Q22</f>
        <v>45031</v>
      </c>
      <c r="V22" s="91"/>
      <c r="W22" s="91"/>
      <c r="X22" s="68">
        <f t="shared" si="21"/>
        <v>0</v>
      </c>
      <c r="Y22" s="68">
        <f>+U22</f>
        <v>45031</v>
      </c>
      <c r="Z22" s="91"/>
      <c r="AA22" s="91"/>
      <c r="AB22" s="68">
        <f t="shared" si="22"/>
        <v>0</v>
      </c>
      <c r="AC22" s="68">
        <f>+Y22</f>
        <v>45031</v>
      </c>
      <c r="AD22" s="91"/>
      <c r="AE22" s="91"/>
      <c r="AF22" s="68">
        <f t="shared" si="23"/>
        <v>0</v>
      </c>
      <c r="AG22" s="68">
        <f>+AC22</f>
        <v>45031</v>
      </c>
      <c r="AH22" s="91"/>
      <c r="AI22" s="91"/>
      <c r="AJ22" s="68">
        <f t="shared" si="24"/>
        <v>0</v>
      </c>
      <c r="AK22" s="68">
        <f>+AG22</f>
        <v>45031</v>
      </c>
      <c r="AL22" s="91"/>
      <c r="AM22" s="91"/>
      <c r="AN22" s="68">
        <f t="shared" si="25"/>
        <v>0</v>
      </c>
      <c r="AO22" s="68">
        <f>+AK22</f>
        <v>45031</v>
      </c>
      <c r="AP22" s="91"/>
      <c r="AQ22" s="91"/>
      <c r="AR22" s="68">
        <f t="shared" si="26"/>
        <v>0</v>
      </c>
      <c r="AS22" s="68">
        <f>+AO22</f>
        <v>45031</v>
      </c>
      <c r="AT22" s="91"/>
      <c r="AU22" s="91"/>
      <c r="AV22" s="68">
        <f t="shared" si="28"/>
        <v>0</v>
      </c>
      <c r="AW22" s="68">
        <f>+BE22</f>
        <v>45031</v>
      </c>
      <c r="AX22" s="91"/>
      <c r="AY22" s="91"/>
      <c r="AZ22" s="68">
        <f t="shared" si="27"/>
        <v>0</v>
      </c>
      <c r="BA22" s="68">
        <f>AW22+AY22-AX22</f>
        <v>45031</v>
      </c>
      <c r="BB22" s="152">
        <f t="shared" si="19"/>
        <v>0</v>
      </c>
      <c r="BC22" s="152"/>
      <c r="BD22" s="200"/>
      <c r="BE22" s="200">
        <f>AS22</f>
        <v>45031</v>
      </c>
    </row>
    <row r="23" spans="1:57" x14ac:dyDescent="0.5">
      <c r="A23" s="67">
        <v>16</v>
      </c>
      <c r="B23" s="81" t="s">
        <v>77</v>
      </c>
      <c r="C23" s="67"/>
      <c r="D23" s="170">
        <f>'งบทดลองส่งรายเดือนปี59-60'!CR22+'งบทดลองส่งรายเดือนปี59-60'!CT22-'งบทดลองส่งรายเดือนปี59-60'!CU22</f>
        <v>0</v>
      </c>
      <c r="E23" s="170"/>
      <c r="F23" s="91"/>
      <c r="G23" s="91"/>
      <c r="H23" s="68">
        <f t="shared" si="14"/>
        <v>0</v>
      </c>
      <c r="I23" s="68"/>
      <c r="J23" s="91"/>
      <c r="K23" s="91"/>
      <c r="L23" s="68">
        <f t="shared" si="15"/>
        <v>0</v>
      </c>
      <c r="M23" s="68"/>
      <c r="N23" s="91"/>
      <c r="O23" s="91"/>
      <c r="P23" s="68">
        <f t="shared" si="16"/>
        <v>0</v>
      </c>
      <c r="Q23" s="68"/>
      <c r="R23" s="91"/>
      <c r="S23" s="91"/>
      <c r="T23" s="68">
        <f t="shared" si="20"/>
        <v>0</v>
      </c>
      <c r="U23" s="68"/>
      <c r="V23" s="91"/>
      <c r="W23" s="91"/>
      <c r="X23" s="68">
        <f t="shared" si="21"/>
        <v>0</v>
      </c>
      <c r="Y23" s="68"/>
      <c r="Z23" s="91"/>
      <c r="AA23" s="91"/>
      <c r="AB23" s="68">
        <f t="shared" si="22"/>
        <v>0</v>
      </c>
      <c r="AC23" s="68"/>
      <c r="AD23" s="91"/>
      <c r="AE23" s="91"/>
      <c r="AF23" s="68">
        <f t="shared" si="23"/>
        <v>0</v>
      </c>
      <c r="AG23" s="68"/>
      <c r="AH23" s="91"/>
      <c r="AI23" s="91"/>
      <c r="AJ23" s="68">
        <f t="shared" si="24"/>
        <v>0</v>
      </c>
      <c r="AK23" s="68"/>
      <c r="AL23" s="91"/>
      <c r="AM23" s="91"/>
      <c r="AN23" s="68">
        <f t="shared" si="25"/>
        <v>0</v>
      </c>
      <c r="AO23" s="68"/>
      <c r="AP23" s="91"/>
      <c r="AQ23" s="91"/>
      <c r="AR23" s="68">
        <f t="shared" si="26"/>
        <v>0</v>
      </c>
      <c r="AS23" s="68"/>
      <c r="AT23" s="91"/>
      <c r="AU23" s="91"/>
      <c r="AV23" s="68">
        <f t="shared" si="28"/>
        <v>0</v>
      </c>
      <c r="AW23" s="68"/>
      <c r="AX23" s="91"/>
      <c r="AY23" s="91"/>
      <c r="AZ23" s="68">
        <f t="shared" si="27"/>
        <v>0</v>
      </c>
      <c r="BA23" s="68"/>
      <c r="BB23" s="152">
        <f t="shared" si="19"/>
        <v>0</v>
      </c>
      <c r="BC23" s="152">
        <f t="shared" si="13"/>
        <v>0</v>
      </c>
      <c r="BD23" s="200">
        <f>AP23+AR23-AS23</f>
        <v>0</v>
      </c>
      <c r="BE23" s="200"/>
    </row>
    <row r="24" spans="1:57" x14ac:dyDescent="0.5">
      <c r="A24" s="67">
        <v>17</v>
      </c>
      <c r="B24" s="81" t="s">
        <v>50</v>
      </c>
      <c r="C24" s="67"/>
      <c r="D24" s="170">
        <f>'งบทดลองส่งรายเดือนปี59-60'!CR23+'งบทดลองส่งรายเดือนปี59-60'!CT23-'งบทดลองส่งรายเดือนปี59-60'!CU23</f>
        <v>5387</v>
      </c>
      <c r="E24" s="170"/>
      <c r="F24" s="91"/>
      <c r="G24" s="91"/>
      <c r="H24" s="68">
        <f t="shared" si="14"/>
        <v>5387</v>
      </c>
      <c r="I24" s="68"/>
      <c r="J24" s="91"/>
      <c r="K24" s="91"/>
      <c r="L24" s="68">
        <f t="shared" si="15"/>
        <v>5387</v>
      </c>
      <c r="M24" s="68"/>
      <c r="N24" s="91"/>
      <c r="O24" s="91"/>
      <c r="P24" s="68">
        <f t="shared" si="16"/>
        <v>5387</v>
      </c>
      <c r="Q24" s="68"/>
      <c r="R24" s="91"/>
      <c r="S24" s="91"/>
      <c r="T24" s="68">
        <f t="shared" si="20"/>
        <v>5387</v>
      </c>
      <c r="U24" s="68"/>
      <c r="V24" s="91"/>
      <c r="W24" s="91"/>
      <c r="X24" s="68">
        <f t="shared" si="21"/>
        <v>5387</v>
      </c>
      <c r="Y24" s="68"/>
      <c r="Z24" s="91"/>
      <c r="AA24" s="91"/>
      <c r="AB24" s="68">
        <f t="shared" si="22"/>
        <v>5387</v>
      </c>
      <c r="AC24" s="68"/>
      <c r="AD24" s="91"/>
      <c r="AE24" s="91"/>
      <c r="AF24" s="68">
        <f t="shared" si="23"/>
        <v>5387</v>
      </c>
      <c r="AG24" s="68"/>
      <c r="AH24" s="91"/>
      <c r="AI24" s="91"/>
      <c r="AJ24" s="68">
        <f t="shared" si="24"/>
        <v>5387</v>
      </c>
      <c r="AK24" s="68"/>
      <c r="AL24" s="91"/>
      <c r="AM24" s="91"/>
      <c r="AN24" s="68">
        <f t="shared" si="25"/>
        <v>5387</v>
      </c>
      <c r="AO24" s="68"/>
      <c r="AP24" s="91"/>
      <c r="AQ24" s="91"/>
      <c r="AR24" s="68">
        <f t="shared" si="26"/>
        <v>5387</v>
      </c>
      <c r="AS24" s="68"/>
      <c r="AT24" s="91"/>
      <c r="AU24" s="91"/>
      <c r="AV24" s="68">
        <f t="shared" si="28"/>
        <v>5387</v>
      </c>
      <c r="AW24" s="68"/>
      <c r="AX24" s="91"/>
      <c r="AY24" s="91"/>
      <c r="AZ24" s="68">
        <f>AV24+AX24-AY24</f>
        <v>5387</v>
      </c>
      <c r="BA24" s="68"/>
      <c r="BB24" s="152">
        <f>+F24+J24+N24+R24+V24+Z24+AD24+AH24+AL24+AP24</f>
        <v>0</v>
      </c>
      <c r="BC24" s="152">
        <f t="shared" si="13"/>
        <v>0</v>
      </c>
      <c r="BD24" s="200">
        <f>D24+BB24-BC24</f>
        <v>5387</v>
      </c>
      <c r="BE24" s="200"/>
    </row>
    <row r="25" spans="1:57" x14ac:dyDescent="0.5">
      <c r="A25" s="67">
        <v>18</v>
      </c>
      <c r="B25" s="81" t="s">
        <v>8</v>
      </c>
      <c r="C25" s="67">
        <v>63</v>
      </c>
      <c r="D25" s="170">
        <f>'งบทดลองส่งรายเดือนปี59-60'!CR24+'งบทดลองส่งรายเดือนปี59-60'!CT24-'งบทดลองส่งรายเดือนปี59-60'!CU24</f>
        <v>1222</v>
      </c>
      <c r="E25" s="170"/>
      <c r="F25" s="91"/>
      <c r="G25" s="91"/>
      <c r="H25" s="68">
        <f t="shared" si="14"/>
        <v>1222</v>
      </c>
      <c r="I25" s="68"/>
      <c r="J25" s="91"/>
      <c r="K25" s="91"/>
      <c r="L25" s="68">
        <f t="shared" si="15"/>
        <v>1222</v>
      </c>
      <c r="M25" s="68"/>
      <c r="N25" s="91"/>
      <c r="O25" s="91"/>
      <c r="P25" s="68">
        <f t="shared" si="16"/>
        <v>1222</v>
      </c>
      <c r="Q25" s="68"/>
      <c r="R25" s="91"/>
      <c r="S25" s="91"/>
      <c r="T25" s="68">
        <f t="shared" si="20"/>
        <v>1222</v>
      </c>
      <c r="U25" s="68"/>
      <c r="V25" s="91"/>
      <c r="W25" s="91"/>
      <c r="X25" s="68">
        <f t="shared" si="21"/>
        <v>1222</v>
      </c>
      <c r="Y25" s="68"/>
      <c r="Z25" s="91"/>
      <c r="AA25" s="91"/>
      <c r="AB25" s="68">
        <f t="shared" si="22"/>
        <v>1222</v>
      </c>
      <c r="AC25" s="68"/>
      <c r="AD25" s="91"/>
      <c r="AE25" s="91"/>
      <c r="AF25" s="68">
        <f t="shared" si="23"/>
        <v>1222</v>
      </c>
      <c r="AG25" s="68"/>
      <c r="AH25" s="91"/>
      <c r="AI25" s="91"/>
      <c r="AJ25" s="68">
        <f t="shared" si="24"/>
        <v>1222</v>
      </c>
      <c r="AK25" s="68"/>
      <c r="AL25" s="91"/>
      <c r="AM25" s="91"/>
      <c r="AN25" s="68">
        <f t="shared" si="25"/>
        <v>1222</v>
      </c>
      <c r="AO25" s="68"/>
      <c r="AP25" s="91"/>
      <c r="AQ25" s="91"/>
      <c r="AR25" s="68">
        <f t="shared" si="26"/>
        <v>1222</v>
      </c>
      <c r="AS25" s="68"/>
      <c r="AT25" s="91"/>
      <c r="AU25" s="91"/>
      <c r="AV25" s="68">
        <f t="shared" si="28"/>
        <v>1222</v>
      </c>
      <c r="AW25" s="68"/>
      <c r="AX25" s="91"/>
      <c r="AY25" s="91"/>
      <c r="AZ25" s="68">
        <f>AV25+AX25-AY25</f>
        <v>1222</v>
      </c>
      <c r="BA25" s="68"/>
      <c r="BB25" s="152"/>
      <c r="BC25" s="152">
        <f t="shared" si="13"/>
        <v>0</v>
      </c>
      <c r="BD25" s="200">
        <f>AR25</f>
        <v>1222</v>
      </c>
      <c r="BE25" s="200"/>
    </row>
    <row r="26" spans="1:57" x14ac:dyDescent="0.5">
      <c r="A26" s="67">
        <v>19</v>
      </c>
      <c r="B26" s="81" t="s">
        <v>51</v>
      </c>
      <c r="C26" s="67">
        <v>175</v>
      </c>
      <c r="D26" s="170">
        <f>'งบทดลองส่งรายเดือนปี59-60'!CR25+'งบทดลองส่งรายเดือนปี59-60'!CT25-'งบทดลองส่งรายเดือนปี59-60'!CU25</f>
        <v>0</v>
      </c>
      <c r="E26" s="170"/>
      <c r="F26" s="91"/>
      <c r="G26" s="91"/>
      <c r="H26" s="68">
        <f t="shared" si="14"/>
        <v>0</v>
      </c>
      <c r="I26" s="68"/>
      <c r="J26" s="91"/>
      <c r="K26" s="91"/>
      <c r="L26" s="68">
        <f t="shared" si="15"/>
        <v>0</v>
      </c>
      <c r="M26" s="68"/>
      <c r="N26" s="91"/>
      <c r="O26" s="91"/>
      <c r="P26" s="68">
        <f t="shared" si="16"/>
        <v>0</v>
      </c>
      <c r="Q26" s="68"/>
      <c r="R26" s="91"/>
      <c r="S26" s="91"/>
      <c r="T26" s="68">
        <f t="shared" si="20"/>
        <v>0</v>
      </c>
      <c r="U26" s="68"/>
      <c r="V26" s="91"/>
      <c r="W26" s="91"/>
      <c r="X26" s="68">
        <f t="shared" si="21"/>
        <v>0</v>
      </c>
      <c r="Y26" s="68"/>
      <c r="Z26" s="91"/>
      <c r="AA26" s="91"/>
      <c r="AB26" s="68">
        <f t="shared" si="22"/>
        <v>0</v>
      </c>
      <c r="AC26" s="68"/>
      <c r="AD26" s="91"/>
      <c r="AE26" s="91"/>
      <c r="AF26" s="68">
        <f t="shared" si="23"/>
        <v>0</v>
      </c>
      <c r="AG26" s="68"/>
      <c r="AH26" s="91"/>
      <c r="AI26" s="91"/>
      <c r="AJ26" s="68">
        <f t="shared" si="24"/>
        <v>0</v>
      </c>
      <c r="AK26" s="68"/>
      <c r="AL26" s="91"/>
      <c r="AM26" s="91"/>
      <c r="AN26" s="68">
        <f t="shared" si="25"/>
        <v>0</v>
      </c>
      <c r="AO26" s="68"/>
      <c r="AP26" s="91"/>
      <c r="AQ26" s="91"/>
      <c r="AR26" s="68">
        <f t="shared" si="26"/>
        <v>0</v>
      </c>
      <c r="AS26" s="68"/>
      <c r="AT26" s="91"/>
      <c r="AU26" s="91"/>
      <c r="AV26" s="68">
        <f t="shared" si="28"/>
        <v>0</v>
      </c>
      <c r="AW26" s="68"/>
      <c r="AX26" s="91"/>
      <c r="AY26" s="91"/>
      <c r="AZ26" s="68">
        <f t="shared" si="27"/>
        <v>0</v>
      </c>
      <c r="BA26" s="68"/>
      <c r="BB26" s="152">
        <f t="shared" si="19"/>
        <v>0</v>
      </c>
      <c r="BC26" s="152">
        <f t="shared" si="13"/>
        <v>0</v>
      </c>
      <c r="BD26" s="200">
        <f>AP26+AR26-AS26</f>
        <v>0</v>
      </c>
      <c r="BE26" s="200"/>
    </row>
    <row r="27" spans="1:57" x14ac:dyDescent="0.5">
      <c r="A27" s="67">
        <v>20</v>
      </c>
      <c r="B27" s="81" t="s">
        <v>52</v>
      </c>
      <c r="C27" s="67">
        <v>71</v>
      </c>
      <c r="D27" s="170">
        <f>'งบทดลองส่งรายเดือนปี59-60'!CR26+'งบทดลองส่งรายเดือนปี59-60'!CT26-'งบทดลองส่งรายเดือนปี59-60'!CU26</f>
        <v>10000</v>
      </c>
      <c r="E27" s="170"/>
      <c r="F27" s="91"/>
      <c r="G27" s="91"/>
      <c r="H27" s="68">
        <f t="shared" si="14"/>
        <v>10000</v>
      </c>
      <c r="I27" s="68"/>
      <c r="J27" s="91"/>
      <c r="K27" s="91">
        <v>10000</v>
      </c>
      <c r="L27" s="68">
        <f t="shared" si="15"/>
        <v>0</v>
      </c>
      <c r="M27" s="68"/>
      <c r="N27" s="91"/>
      <c r="O27" s="91"/>
      <c r="P27" s="68">
        <f t="shared" si="16"/>
        <v>0</v>
      </c>
      <c r="Q27" s="68"/>
      <c r="R27" s="91"/>
      <c r="S27" s="91"/>
      <c r="T27" s="68">
        <f t="shared" si="20"/>
        <v>0</v>
      </c>
      <c r="U27" s="68"/>
      <c r="V27" s="91"/>
      <c r="W27" s="91"/>
      <c r="X27" s="68">
        <f t="shared" si="21"/>
        <v>0</v>
      </c>
      <c r="Y27" s="68"/>
      <c r="Z27" s="91"/>
      <c r="AA27" s="91"/>
      <c r="AB27" s="68">
        <f t="shared" si="22"/>
        <v>0</v>
      </c>
      <c r="AC27" s="68"/>
      <c r="AD27" s="91"/>
      <c r="AE27" s="91"/>
      <c r="AF27" s="68">
        <f t="shared" si="23"/>
        <v>0</v>
      </c>
      <c r="AG27" s="68"/>
      <c r="AH27" s="91"/>
      <c r="AI27" s="91"/>
      <c r="AJ27" s="68">
        <f t="shared" si="24"/>
        <v>0</v>
      </c>
      <c r="AK27" s="68"/>
      <c r="AL27" s="91"/>
      <c r="AM27" s="91"/>
      <c r="AN27" s="68">
        <f t="shared" si="25"/>
        <v>0</v>
      </c>
      <c r="AO27" s="68"/>
      <c r="AP27" s="91"/>
      <c r="AQ27" s="91"/>
      <c r="AR27" s="68">
        <f t="shared" si="26"/>
        <v>0</v>
      </c>
      <c r="AS27" s="68"/>
      <c r="AT27" s="91"/>
      <c r="AU27" s="91"/>
      <c r="AV27" s="68">
        <f t="shared" si="28"/>
        <v>0</v>
      </c>
      <c r="AW27" s="68"/>
      <c r="AX27" s="91"/>
      <c r="AY27" s="91"/>
      <c r="AZ27" s="68">
        <f t="shared" si="27"/>
        <v>0</v>
      </c>
      <c r="BA27" s="68"/>
      <c r="BB27" s="152"/>
      <c r="BC27" s="152">
        <f t="shared" si="13"/>
        <v>10000</v>
      </c>
      <c r="BD27" s="200">
        <f>AP27+AR27-AS27</f>
        <v>0</v>
      </c>
      <c r="BE27" s="200"/>
    </row>
    <row r="28" spans="1:57" x14ac:dyDescent="0.5">
      <c r="A28" s="67">
        <v>21</v>
      </c>
      <c r="B28" s="81" t="s">
        <v>21</v>
      </c>
      <c r="C28" s="67">
        <v>75</v>
      </c>
      <c r="D28" s="170">
        <v>9295.0300000000007</v>
      </c>
      <c r="E28" s="170"/>
      <c r="F28" s="91"/>
      <c r="G28" s="91"/>
      <c r="H28" s="68">
        <f t="shared" si="14"/>
        <v>9295.0300000000007</v>
      </c>
      <c r="I28" s="68"/>
      <c r="J28" s="91"/>
      <c r="K28" s="91"/>
      <c r="L28" s="68">
        <f t="shared" si="15"/>
        <v>9295.0300000000007</v>
      </c>
      <c r="M28" s="68"/>
      <c r="N28" s="91"/>
      <c r="O28" s="91"/>
      <c r="P28" s="68">
        <f t="shared" si="16"/>
        <v>9295.0300000000007</v>
      </c>
      <c r="Q28" s="68"/>
      <c r="R28" s="91">
        <v>1380</v>
      </c>
      <c r="S28" s="91"/>
      <c r="T28" s="68">
        <f t="shared" si="20"/>
        <v>10675.03</v>
      </c>
      <c r="U28" s="68"/>
      <c r="V28" s="91"/>
      <c r="W28" s="91"/>
      <c r="X28" s="68">
        <f t="shared" si="21"/>
        <v>10675.03</v>
      </c>
      <c r="Y28" s="68"/>
      <c r="Z28" s="91"/>
      <c r="AA28" s="91"/>
      <c r="AB28" s="68">
        <f t="shared" si="22"/>
        <v>10675.03</v>
      </c>
      <c r="AC28" s="68"/>
      <c r="AD28" s="91">
        <v>497</v>
      </c>
      <c r="AE28" s="91"/>
      <c r="AF28" s="68">
        <f t="shared" si="23"/>
        <v>11172.03</v>
      </c>
      <c r="AG28" s="68"/>
      <c r="AH28" s="91"/>
      <c r="AI28" s="91"/>
      <c r="AJ28" s="68">
        <f t="shared" si="24"/>
        <v>11172.03</v>
      </c>
      <c r="AK28" s="68"/>
      <c r="AL28" s="91"/>
      <c r="AM28" s="91"/>
      <c r="AN28" s="68">
        <f t="shared" si="25"/>
        <v>11172.03</v>
      </c>
      <c r="AO28" s="68"/>
      <c r="AP28" s="91"/>
      <c r="AQ28" s="91"/>
      <c r="AR28" s="68">
        <f t="shared" si="26"/>
        <v>11172.03</v>
      </c>
      <c r="AS28" s="68"/>
      <c r="AT28" s="91"/>
      <c r="AU28" s="91"/>
      <c r="AV28" s="68">
        <f t="shared" si="28"/>
        <v>11172.03</v>
      </c>
      <c r="AW28" s="68"/>
      <c r="AX28" s="91"/>
      <c r="AY28" s="91"/>
      <c r="AZ28" s="68">
        <f>AV28+AX28-AY28</f>
        <v>11172.03</v>
      </c>
      <c r="BA28" s="68"/>
      <c r="BB28" s="152">
        <f>+F28+J28+N28+R28+V28+Z28+AD28+AH28+AL28+AP28+AT28+AX28</f>
        <v>1877</v>
      </c>
      <c r="BC28" s="152">
        <f t="shared" si="13"/>
        <v>0</v>
      </c>
      <c r="BD28" s="200">
        <f>D28+BB28-BC28</f>
        <v>11172.03</v>
      </c>
      <c r="BE28" s="200"/>
    </row>
    <row r="29" spans="1:57" x14ac:dyDescent="0.5">
      <c r="A29" s="67">
        <v>22</v>
      </c>
      <c r="B29" s="210" t="s">
        <v>231</v>
      </c>
      <c r="C29" s="67">
        <v>81</v>
      </c>
      <c r="D29" s="170">
        <v>4746871.74</v>
      </c>
      <c r="E29" s="170"/>
      <c r="F29" s="91">
        <v>80000</v>
      </c>
      <c r="G29" s="91">
        <v>80000</v>
      </c>
      <c r="H29" s="68">
        <f>D29+F29-G29</f>
        <v>4746871.74</v>
      </c>
      <c r="I29" s="68"/>
      <c r="J29" s="91">
        <v>23000</v>
      </c>
      <c r="K29" s="91">
        <v>23000</v>
      </c>
      <c r="L29" s="68">
        <f t="shared" si="15"/>
        <v>4746871.74</v>
      </c>
      <c r="M29" s="68"/>
      <c r="N29" s="91"/>
      <c r="O29" s="91"/>
      <c r="P29" s="68">
        <f t="shared" si="16"/>
        <v>4746871.74</v>
      </c>
      <c r="Q29" s="68"/>
      <c r="R29" s="91"/>
      <c r="S29" s="91">
        <v>12476.97</v>
      </c>
      <c r="T29" s="68">
        <f t="shared" si="20"/>
        <v>4734394.7700000005</v>
      </c>
      <c r="U29" s="68"/>
      <c r="V29" s="91"/>
      <c r="W29" s="91"/>
      <c r="X29" s="68">
        <f t="shared" si="21"/>
        <v>4734394.7700000005</v>
      </c>
      <c r="Y29" s="68"/>
      <c r="Z29" s="91"/>
      <c r="AA29" s="91">
        <v>30000</v>
      </c>
      <c r="AB29" s="68">
        <f t="shared" si="22"/>
        <v>4704394.7700000005</v>
      </c>
      <c r="AC29" s="68"/>
      <c r="AD29" s="91"/>
      <c r="AE29" s="91"/>
      <c r="AF29" s="68">
        <f t="shared" si="23"/>
        <v>4704394.7700000005</v>
      </c>
      <c r="AG29" s="68"/>
      <c r="AH29" s="91"/>
      <c r="AI29" s="91">
        <v>16799</v>
      </c>
      <c r="AJ29" s="68">
        <f t="shared" si="24"/>
        <v>4687595.7700000005</v>
      </c>
      <c r="AK29" s="68"/>
      <c r="AL29" s="91">
        <v>194000</v>
      </c>
      <c r="AM29" s="91">
        <v>194000</v>
      </c>
      <c r="AN29" s="68">
        <f t="shared" si="25"/>
        <v>4687595.7700000005</v>
      </c>
      <c r="AO29" s="68"/>
      <c r="AP29" s="91">
        <v>115000</v>
      </c>
      <c r="AQ29" s="91">
        <v>115000</v>
      </c>
      <c r="AR29" s="68">
        <f t="shared" si="26"/>
        <v>4687595.7700000005</v>
      </c>
      <c r="AS29" s="68"/>
      <c r="AT29" s="91">
        <f>244000+20000</f>
        <v>264000</v>
      </c>
      <c r="AU29" s="91">
        <f>286000+20000</f>
        <v>306000</v>
      </c>
      <c r="AV29" s="68">
        <f>AR29+AT29-AU29</f>
        <v>4645595.7700000005</v>
      </c>
      <c r="AW29" s="68"/>
      <c r="AX29" s="91">
        <v>420000</v>
      </c>
      <c r="AY29" s="91">
        <v>397000</v>
      </c>
      <c r="AZ29" s="68">
        <f>AV29+AX29-AY29</f>
        <v>4668595.7700000005</v>
      </c>
      <c r="BA29" s="68"/>
      <c r="BB29" s="152">
        <f>+F29+J29+N29+R29+V29+Z29+AD29+AH29+AL29+AP29+AT29+AX29</f>
        <v>1096000</v>
      </c>
      <c r="BC29" s="152">
        <f>+G29+K29+O29+S29+W29+AA29+AE29+AI29+AM29+AQ29+AU29+AY29</f>
        <v>1174275.97</v>
      </c>
      <c r="BD29" s="200">
        <f>D29+BB29-BC29</f>
        <v>4668595.7700000005</v>
      </c>
      <c r="BE29" s="200"/>
    </row>
    <row r="30" spans="1:57" s="182" customFormat="1" x14ac:dyDescent="0.5">
      <c r="A30" s="67"/>
      <c r="B30" s="210" t="s">
        <v>232</v>
      </c>
      <c r="C30" s="67"/>
      <c r="D30" s="170">
        <v>188000</v>
      </c>
      <c r="E30" s="170"/>
      <c r="F30" s="91"/>
      <c r="G30" s="91"/>
      <c r="H30" s="68">
        <f t="shared" si="14"/>
        <v>188000</v>
      </c>
      <c r="I30" s="68"/>
      <c r="J30" s="91"/>
      <c r="K30" s="91">
        <v>13000</v>
      </c>
      <c r="L30" s="68">
        <f t="shared" si="15"/>
        <v>175000</v>
      </c>
      <c r="M30" s="68"/>
      <c r="N30" s="91">
        <v>78000</v>
      </c>
      <c r="O30" s="91">
        <v>65000</v>
      </c>
      <c r="P30" s="68">
        <f t="shared" si="16"/>
        <v>188000</v>
      </c>
      <c r="Q30" s="68"/>
      <c r="R30" s="91"/>
      <c r="S30" s="91"/>
      <c r="T30" s="68">
        <f t="shared" si="20"/>
        <v>188000</v>
      </c>
      <c r="U30" s="68"/>
      <c r="V30" s="91"/>
      <c r="W30" s="91"/>
      <c r="X30" s="68">
        <f t="shared" si="21"/>
        <v>188000</v>
      </c>
      <c r="Y30" s="68"/>
      <c r="Z30" s="91">
        <v>40000</v>
      </c>
      <c r="AA30" s="91">
        <v>40000</v>
      </c>
      <c r="AB30" s="68">
        <f t="shared" si="22"/>
        <v>188000</v>
      </c>
      <c r="AC30" s="68"/>
      <c r="AD30" s="91"/>
      <c r="AE30" s="91"/>
      <c r="AF30" s="68">
        <f t="shared" si="23"/>
        <v>188000</v>
      </c>
      <c r="AG30" s="68"/>
      <c r="AH30" s="91">
        <v>30000</v>
      </c>
      <c r="AI30" s="91">
        <v>30000</v>
      </c>
      <c r="AJ30" s="68">
        <f t="shared" si="24"/>
        <v>188000</v>
      </c>
      <c r="AK30" s="68"/>
      <c r="AL30" s="91">
        <v>52000</v>
      </c>
      <c r="AM30" s="91">
        <v>52000</v>
      </c>
      <c r="AN30" s="68">
        <f t="shared" si="25"/>
        <v>188000</v>
      </c>
      <c r="AO30" s="68"/>
      <c r="AP30" s="91">
        <v>13000</v>
      </c>
      <c r="AQ30" s="91">
        <v>13000</v>
      </c>
      <c r="AR30" s="68">
        <f t="shared" si="26"/>
        <v>188000</v>
      </c>
      <c r="AS30" s="68"/>
      <c r="AT30" s="91"/>
      <c r="AU30" s="91"/>
      <c r="AV30" s="68">
        <f t="shared" ref="AV30:AV31" si="29">AR30+AT30-AU30</f>
        <v>188000</v>
      </c>
      <c r="AW30" s="68"/>
      <c r="AX30" s="91"/>
      <c r="AY30" s="91"/>
      <c r="AZ30" s="68">
        <f t="shared" ref="AZ30:AZ31" si="30">AV30+AX30-AY30</f>
        <v>188000</v>
      </c>
      <c r="BA30" s="68"/>
      <c r="BB30" s="152">
        <f t="shared" ref="BB30" si="31">+F30+J30+N30+R30+V30+Z30+AD30+AH30+AL30+AP30+AT30</f>
        <v>213000</v>
      </c>
      <c r="BC30" s="152">
        <f t="shared" ref="BC30" si="32">+G30+K30+O30+S30+W30+AA30+AE30+AI30+AM30+AQ30+AU30</f>
        <v>213000</v>
      </c>
      <c r="BD30" s="200">
        <f t="shared" ref="BD30:BD31" si="33">D30+BB30-BC30</f>
        <v>188000</v>
      </c>
      <c r="BE30" s="200"/>
    </row>
    <row r="31" spans="1:57" s="182" customFormat="1" x14ac:dyDescent="0.5">
      <c r="A31" s="67"/>
      <c r="B31" s="210" t="s">
        <v>233</v>
      </c>
      <c r="C31" s="67"/>
      <c r="D31" s="170">
        <v>345000</v>
      </c>
      <c r="E31" s="170"/>
      <c r="F31" s="91"/>
      <c r="G31" s="91"/>
      <c r="H31" s="68">
        <f t="shared" si="14"/>
        <v>345000</v>
      </c>
      <c r="I31" s="68"/>
      <c r="J31" s="91"/>
      <c r="K31" s="91"/>
      <c r="L31" s="68">
        <f t="shared" si="15"/>
        <v>345000</v>
      </c>
      <c r="M31" s="68"/>
      <c r="N31" s="91"/>
      <c r="O31" s="91"/>
      <c r="P31" s="68">
        <f t="shared" si="16"/>
        <v>345000</v>
      </c>
      <c r="Q31" s="68"/>
      <c r="R31" s="91"/>
      <c r="S31" s="91"/>
      <c r="T31" s="68">
        <f t="shared" si="20"/>
        <v>345000</v>
      </c>
      <c r="U31" s="68"/>
      <c r="V31" s="91">
        <v>184000</v>
      </c>
      <c r="W31" s="91">
        <v>184000</v>
      </c>
      <c r="X31" s="68">
        <f t="shared" si="21"/>
        <v>345000</v>
      </c>
      <c r="Y31" s="68"/>
      <c r="Z31" s="91"/>
      <c r="AA31" s="91"/>
      <c r="AB31" s="68">
        <f t="shared" si="22"/>
        <v>345000</v>
      </c>
      <c r="AC31" s="68"/>
      <c r="AD31" s="91"/>
      <c r="AE31" s="91"/>
      <c r="AF31" s="68">
        <f t="shared" si="23"/>
        <v>345000</v>
      </c>
      <c r="AG31" s="68"/>
      <c r="AH31" s="91"/>
      <c r="AI31" s="91"/>
      <c r="AJ31" s="68">
        <f t="shared" si="24"/>
        <v>345000</v>
      </c>
      <c r="AK31" s="68"/>
      <c r="AL31" s="91"/>
      <c r="AM31" s="91"/>
      <c r="AN31" s="68">
        <f t="shared" si="25"/>
        <v>345000</v>
      </c>
      <c r="AO31" s="68"/>
      <c r="AP31" s="91">
        <v>23000</v>
      </c>
      <c r="AQ31" s="91">
        <v>23000</v>
      </c>
      <c r="AR31" s="68">
        <f t="shared" si="26"/>
        <v>345000</v>
      </c>
      <c r="AS31" s="68"/>
      <c r="AT31" s="91">
        <v>92000</v>
      </c>
      <c r="AU31" s="91">
        <v>92000</v>
      </c>
      <c r="AV31" s="68">
        <f t="shared" si="29"/>
        <v>345000</v>
      </c>
      <c r="AW31" s="68"/>
      <c r="AX31" s="91">
        <v>23000</v>
      </c>
      <c r="AY31" s="91">
        <v>23000</v>
      </c>
      <c r="AZ31" s="68">
        <f t="shared" si="30"/>
        <v>345000</v>
      </c>
      <c r="BA31" s="68"/>
      <c r="BB31" s="152">
        <f>+F31+J31+N31+R31+V31+Z31+AD31+AH31+AL31+AP31+AT31+AX31</f>
        <v>322000</v>
      </c>
      <c r="BC31" s="152">
        <f>+G31+K31+O31+S31+W31+AA31+AE31+AI31+AM31+AQ31+AU31+AY31</f>
        <v>322000</v>
      </c>
      <c r="BD31" s="200">
        <f t="shared" si="33"/>
        <v>345000</v>
      </c>
      <c r="BE31" s="200"/>
    </row>
    <row r="32" spans="1:57" x14ac:dyDescent="0.5">
      <c r="A32" s="67">
        <v>23</v>
      </c>
      <c r="B32" s="81" t="s">
        <v>136</v>
      </c>
      <c r="C32" s="67">
        <v>101</v>
      </c>
      <c r="D32" s="170">
        <f>'งบทดลองส่งรายเดือนปี59-60'!CR30+'งบทดลองส่งรายเดือนปี59-60'!CT30-'งบทดลองส่งรายเดือนปี59-60'!CU30</f>
        <v>205000</v>
      </c>
      <c r="E32" s="170"/>
      <c r="F32" s="91"/>
      <c r="G32" s="91"/>
      <c r="H32" s="68">
        <f t="shared" si="14"/>
        <v>205000</v>
      </c>
      <c r="I32" s="68"/>
      <c r="J32" s="91"/>
      <c r="K32" s="91"/>
      <c r="L32" s="68">
        <f t="shared" si="15"/>
        <v>205000</v>
      </c>
      <c r="M32" s="68"/>
      <c r="N32" s="91"/>
      <c r="O32" s="91"/>
      <c r="P32" s="68">
        <f t="shared" si="16"/>
        <v>205000</v>
      </c>
      <c r="Q32" s="68"/>
      <c r="R32" s="91"/>
      <c r="S32" s="91"/>
      <c r="T32" s="68">
        <f t="shared" si="20"/>
        <v>205000</v>
      </c>
      <c r="U32" s="68"/>
      <c r="V32" s="91"/>
      <c r="W32" s="91"/>
      <c r="X32" s="68">
        <f t="shared" si="21"/>
        <v>205000</v>
      </c>
      <c r="Y32" s="68"/>
      <c r="Z32" s="91"/>
      <c r="AA32" s="91"/>
      <c r="AB32" s="68">
        <f t="shared" si="22"/>
        <v>205000</v>
      </c>
      <c r="AC32" s="68"/>
      <c r="AD32" s="91"/>
      <c r="AE32" s="91"/>
      <c r="AF32" s="68">
        <f t="shared" si="23"/>
        <v>205000</v>
      </c>
      <c r="AG32" s="68"/>
      <c r="AH32" s="91"/>
      <c r="AI32" s="91"/>
      <c r="AJ32" s="68">
        <f t="shared" si="24"/>
        <v>205000</v>
      </c>
      <c r="AK32" s="68"/>
      <c r="AL32" s="91"/>
      <c r="AM32" s="91"/>
      <c r="AN32" s="68">
        <f t="shared" si="25"/>
        <v>205000</v>
      </c>
      <c r="AO32" s="68"/>
      <c r="AP32" s="91"/>
      <c r="AQ32" s="91"/>
      <c r="AR32" s="68">
        <f t="shared" si="26"/>
        <v>205000</v>
      </c>
      <c r="AS32" s="68"/>
      <c r="AT32" s="91"/>
      <c r="AU32" s="91"/>
      <c r="AV32" s="68">
        <f>BD32+AT32-AU32</f>
        <v>205000</v>
      </c>
      <c r="AW32" s="68"/>
      <c r="AX32" s="91"/>
      <c r="AY32" s="91"/>
      <c r="AZ32" s="68">
        <f>AV32+AX32-AY32</f>
        <v>205000</v>
      </c>
      <c r="BA32" s="68"/>
      <c r="BB32" s="152">
        <f t="shared" ref="BB32:BB95" si="34">+F32+J32+N32+R32+V32+Z32+AD32+AH32+AL32+AP32</f>
        <v>0</v>
      </c>
      <c r="BC32" s="152">
        <f t="shared" si="13"/>
        <v>0</v>
      </c>
      <c r="BD32" s="200">
        <f>AR32</f>
        <v>205000</v>
      </c>
      <c r="BE32" s="200"/>
    </row>
    <row r="33" spans="1:57" x14ac:dyDescent="0.5">
      <c r="A33" s="67">
        <v>24</v>
      </c>
      <c r="B33" s="81" t="s">
        <v>54</v>
      </c>
      <c r="C33" s="67">
        <v>99</v>
      </c>
      <c r="D33" s="170">
        <f>'งบทดลองส่งรายเดือนปี59-60'!CR31+'งบทดลองส่งรายเดือนปี59-60'!CT31-'งบทดลองส่งรายเดือนปี59-60'!CU31</f>
        <v>0</v>
      </c>
      <c r="E33" s="170">
        <v>1151495</v>
      </c>
      <c r="F33" s="91"/>
      <c r="G33" s="91"/>
      <c r="H33" s="68">
        <f t="shared" si="14"/>
        <v>0</v>
      </c>
      <c r="I33" s="68">
        <f>+E33</f>
        <v>1151495</v>
      </c>
      <c r="J33" s="91"/>
      <c r="K33" s="91"/>
      <c r="L33" s="68">
        <f t="shared" si="15"/>
        <v>0</v>
      </c>
      <c r="M33" s="68">
        <f>+I33</f>
        <v>1151495</v>
      </c>
      <c r="N33" s="91"/>
      <c r="O33" s="91"/>
      <c r="P33" s="68">
        <f t="shared" si="16"/>
        <v>0</v>
      </c>
      <c r="Q33" s="68">
        <f>+M33</f>
        <v>1151495</v>
      </c>
      <c r="R33" s="91"/>
      <c r="S33" s="91"/>
      <c r="T33" s="68">
        <f t="shared" si="20"/>
        <v>0</v>
      </c>
      <c r="U33" s="68">
        <f>+Q33</f>
        <v>1151495</v>
      </c>
      <c r="V33" s="91"/>
      <c r="W33" s="91"/>
      <c r="X33" s="68">
        <f t="shared" si="21"/>
        <v>0</v>
      </c>
      <c r="Y33" s="68">
        <f>+U33</f>
        <v>1151495</v>
      </c>
      <c r="Z33" s="91"/>
      <c r="AA33" s="91"/>
      <c r="AB33" s="68">
        <f t="shared" si="22"/>
        <v>0</v>
      </c>
      <c r="AC33" s="68">
        <f>+Y33</f>
        <v>1151495</v>
      </c>
      <c r="AD33" s="91"/>
      <c r="AE33" s="91"/>
      <c r="AF33" s="68">
        <f t="shared" si="23"/>
        <v>0</v>
      </c>
      <c r="AG33" s="68">
        <f>+AC33</f>
        <v>1151495</v>
      </c>
      <c r="AH33" s="91"/>
      <c r="AI33" s="91"/>
      <c r="AJ33" s="68">
        <f t="shared" si="24"/>
        <v>0</v>
      </c>
      <c r="AK33" s="68">
        <f>+AG33</f>
        <v>1151495</v>
      </c>
      <c r="AL33" s="91"/>
      <c r="AM33" s="91"/>
      <c r="AN33" s="68">
        <f t="shared" si="25"/>
        <v>0</v>
      </c>
      <c r="AO33" s="68">
        <f>+AK33</f>
        <v>1151495</v>
      </c>
      <c r="AP33" s="91"/>
      <c r="AQ33" s="91"/>
      <c r="AR33" s="68">
        <f t="shared" si="26"/>
        <v>0</v>
      </c>
      <c r="AS33" s="68">
        <f>+AO33</f>
        <v>1151495</v>
      </c>
      <c r="AT33" s="91"/>
      <c r="AU33" s="91"/>
      <c r="AV33" s="68">
        <f>BD33+AT33-AU33</f>
        <v>0</v>
      </c>
      <c r="AW33" s="68">
        <f>+BE33</f>
        <v>1151495</v>
      </c>
      <c r="AX33" s="91"/>
      <c r="AY33" s="91"/>
      <c r="AZ33" s="68">
        <f>BH33+AX33-AY33</f>
        <v>0</v>
      </c>
      <c r="BA33" s="68">
        <f>AW33+AY33-AX33</f>
        <v>1151495</v>
      </c>
      <c r="BB33" s="152">
        <f t="shared" si="34"/>
        <v>0</v>
      </c>
      <c r="BC33" s="152"/>
      <c r="BD33" s="200"/>
      <c r="BE33" s="200">
        <f>AS33</f>
        <v>1151495</v>
      </c>
    </row>
    <row r="34" spans="1:57" x14ac:dyDescent="0.5">
      <c r="A34" s="67">
        <v>25</v>
      </c>
      <c r="B34" s="81" t="s">
        <v>237</v>
      </c>
      <c r="C34" s="67">
        <v>105</v>
      </c>
      <c r="D34" s="170">
        <v>1045580.2</v>
      </c>
      <c r="E34" s="170"/>
      <c r="F34" s="91"/>
      <c r="G34" s="91">
        <v>6848.2</v>
      </c>
      <c r="H34" s="68">
        <f t="shared" si="14"/>
        <v>1038732</v>
      </c>
      <c r="I34" s="68"/>
      <c r="J34" s="91"/>
      <c r="K34" s="91">
        <v>1654.11</v>
      </c>
      <c r="L34" s="68">
        <f t="shared" si="15"/>
        <v>1037077.89</v>
      </c>
      <c r="M34" s="68"/>
      <c r="N34" s="91"/>
      <c r="O34" s="91">
        <v>3671.62</v>
      </c>
      <c r="P34" s="68">
        <f t="shared" si="16"/>
        <v>1033406.27</v>
      </c>
      <c r="Q34" s="68"/>
      <c r="R34" s="91"/>
      <c r="S34" s="91">
        <v>1547.55</v>
      </c>
      <c r="T34" s="68">
        <f t="shared" si="20"/>
        <v>1031858.72</v>
      </c>
      <c r="U34" s="68"/>
      <c r="V34" s="91"/>
      <c r="W34" s="91">
        <v>2342.2399999999998</v>
      </c>
      <c r="X34" s="68">
        <f t="shared" si="21"/>
        <v>1029516.48</v>
      </c>
      <c r="Y34" s="68"/>
      <c r="Z34" s="91"/>
      <c r="AA34" s="91">
        <v>1038.3599999999999</v>
      </c>
      <c r="AB34" s="68">
        <f t="shared" si="22"/>
        <v>1028478.12</v>
      </c>
      <c r="AC34" s="68"/>
      <c r="AD34" s="91"/>
      <c r="AE34" s="91"/>
      <c r="AF34" s="68">
        <f t="shared" si="23"/>
        <v>1028478.12</v>
      </c>
      <c r="AG34" s="68"/>
      <c r="AH34" s="91"/>
      <c r="AI34" s="91">
        <v>4906.62</v>
      </c>
      <c r="AJ34" s="68">
        <f t="shared" si="24"/>
        <v>1023571.5</v>
      </c>
      <c r="AK34" s="68"/>
      <c r="AL34" s="91"/>
      <c r="AM34" s="91">
        <v>6661.38</v>
      </c>
      <c r="AN34" s="68">
        <f t="shared" si="25"/>
        <v>1016910.12</v>
      </c>
      <c r="AO34" s="68"/>
      <c r="AP34" s="91"/>
      <c r="AQ34" s="91">
        <v>3204.67</v>
      </c>
      <c r="AR34" s="68">
        <f t="shared" si="26"/>
        <v>1013705.45</v>
      </c>
      <c r="AS34" s="68"/>
      <c r="AT34" s="91"/>
      <c r="AU34" s="91">
        <v>2375.77</v>
      </c>
      <c r="AV34" s="68">
        <f>AR34+AT34-AU34</f>
        <v>1011329.6799999999</v>
      </c>
      <c r="AW34" s="68"/>
      <c r="AX34" s="91"/>
      <c r="AY34" s="91">
        <v>3573.98</v>
      </c>
      <c r="AZ34" s="68">
        <f>AV34+AX34-AY34</f>
        <v>1007755.7</v>
      </c>
      <c r="BA34" s="68"/>
      <c r="BB34" s="152">
        <f t="shared" si="34"/>
        <v>0</v>
      </c>
      <c r="BC34" s="152">
        <f>+G34+K34+O34+S34+W34+AA34+AE34+AI34+AM34+AQ34+AS3+AU34+AY34</f>
        <v>37824.5</v>
      </c>
      <c r="BD34" s="200">
        <f>D34+BB34-BC34</f>
        <v>1007755.7</v>
      </c>
      <c r="BE34" s="200"/>
    </row>
    <row r="35" spans="1:57" x14ac:dyDescent="0.5">
      <c r="A35" s="67">
        <v>26</v>
      </c>
      <c r="B35" s="81" t="s">
        <v>55</v>
      </c>
      <c r="C35" s="67">
        <v>113</v>
      </c>
      <c r="D35" s="170">
        <f>'งบทดลองส่งรายเดือนปี59-60'!CR33+'งบทดลองส่งรายเดือนปี59-60'!CT33-'งบทดลองส่งรายเดือนปี59-60'!CU33</f>
        <v>0</v>
      </c>
      <c r="E35" s="170">
        <v>741058.75</v>
      </c>
      <c r="F35" s="91"/>
      <c r="G35" s="91"/>
      <c r="H35" s="68">
        <f t="shared" si="14"/>
        <v>0</v>
      </c>
      <c r="I35" s="68">
        <f>+E35</f>
        <v>741058.75</v>
      </c>
      <c r="J35" s="91"/>
      <c r="K35" s="91"/>
      <c r="L35" s="68">
        <f t="shared" si="15"/>
        <v>0</v>
      </c>
      <c r="M35" s="68">
        <f>+I35</f>
        <v>741058.75</v>
      </c>
      <c r="N35" s="91"/>
      <c r="O35" s="91"/>
      <c r="P35" s="68">
        <f t="shared" si="16"/>
        <v>0</v>
      </c>
      <c r="Q35" s="68">
        <f>+M35</f>
        <v>741058.75</v>
      </c>
      <c r="R35" s="91"/>
      <c r="S35" s="91"/>
      <c r="T35" s="68">
        <f t="shared" si="20"/>
        <v>0</v>
      </c>
      <c r="U35" s="68">
        <f>+Q35</f>
        <v>741058.75</v>
      </c>
      <c r="V35" s="91"/>
      <c r="W35" s="91"/>
      <c r="X35" s="68">
        <f t="shared" si="21"/>
        <v>0</v>
      </c>
      <c r="Y35" s="68">
        <f>+U35</f>
        <v>741058.75</v>
      </c>
      <c r="Z35" s="91"/>
      <c r="AA35" s="91"/>
      <c r="AB35" s="68">
        <f t="shared" si="22"/>
        <v>0</v>
      </c>
      <c r="AC35" s="68">
        <f>+Y35</f>
        <v>741058.75</v>
      </c>
      <c r="AD35" s="91"/>
      <c r="AE35" s="91"/>
      <c r="AF35" s="68">
        <f t="shared" si="23"/>
        <v>0</v>
      </c>
      <c r="AG35" s="68">
        <f>+AC35</f>
        <v>741058.75</v>
      </c>
      <c r="AH35" s="91"/>
      <c r="AI35" s="91"/>
      <c r="AJ35" s="68">
        <f t="shared" si="24"/>
        <v>0</v>
      </c>
      <c r="AK35" s="68">
        <f>+AG35</f>
        <v>741058.75</v>
      </c>
      <c r="AL35" s="91"/>
      <c r="AM35" s="91"/>
      <c r="AN35" s="68">
        <f t="shared" si="25"/>
        <v>0</v>
      </c>
      <c r="AO35" s="68">
        <f>+AK35</f>
        <v>741058.75</v>
      </c>
      <c r="AP35" s="91"/>
      <c r="AQ35" s="91"/>
      <c r="AR35" s="68">
        <f t="shared" si="26"/>
        <v>0</v>
      </c>
      <c r="AS35" s="68">
        <f>+AO35</f>
        <v>741058.75</v>
      </c>
      <c r="AT35" s="91"/>
      <c r="AU35" s="91"/>
      <c r="AV35" s="68">
        <f>BD35+AT35-AU35</f>
        <v>0</v>
      </c>
      <c r="AW35" s="68">
        <f>+BE35</f>
        <v>741058.75</v>
      </c>
      <c r="AX35" s="91"/>
      <c r="AY35" s="91"/>
      <c r="AZ35" s="68">
        <f>BH35+AX35-AY35</f>
        <v>0</v>
      </c>
      <c r="BA35" s="68">
        <f>AW35+AY35-AX35</f>
        <v>741058.75</v>
      </c>
      <c r="BB35" s="152">
        <f t="shared" si="34"/>
        <v>0</v>
      </c>
      <c r="BC35" s="152"/>
      <c r="BD35" s="200"/>
      <c r="BE35" s="200">
        <f>AS35</f>
        <v>741058.75</v>
      </c>
    </row>
    <row r="36" spans="1:57" x14ac:dyDescent="0.5">
      <c r="A36" s="67">
        <v>27</v>
      </c>
      <c r="B36" s="81" t="s">
        <v>238</v>
      </c>
      <c r="C36" s="67">
        <v>119</v>
      </c>
      <c r="D36" s="170">
        <v>394481.88</v>
      </c>
      <c r="E36" s="170"/>
      <c r="F36" s="91"/>
      <c r="G36" s="105">
        <v>1016.79</v>
      </c>
      <c r="H36" s="68">
        <f t="shared" si="14"/>
        <v>393465.09</v>
      </c>
      <c r="I36" s="68"/>
      <c r="J36" s="91"/>
      <c r="K36" s="105">
        <v>18.899999999999999</v>
      </c>
      <c r="L36" s="68">
        <f t="shared" si="15"/>
        <v>393446.19</v>
      </c>
      <c r="M36" s="68"/>
      <c r="N36" s="91"/>
      <c r="O36" s="105">
        <v>123.29</v>
      </c>
      <c r="P36" s="68">
        <f t="shared" si="16"/>
        <v>393322.9</v>
      </c>
      <c r="Q36" s="68"/>
      <c r="R36" s="91"/>
      <c r="S36" s="105">
        <v>1150.82</v>
      </c>
      <c r="T36" s="68">
        <f t="shared" si="20"/>
        <v>392172.08</v>
      </c>
      <c r="U36" s="68"/>
      <c r="V36" s="91"/>
      <c r="W36" s="91"/>
      <c r="X36" s="68">
        <f t="shared" si="21"/>
        <v>392172.08</v>
      </c>
      <c r="Y36" s="68"/>
      <c r="Z36" s="91"/>
      <c r="AA36" s="105">
        <v>1000</v>
      </c>
      <c r="AB36" s="68">
        <f t="shared" si="22"/>
        <v>391172.08</v>
      </c>
      <c r="AC36" s="68"/>
      <c r="AD36" s="91"/>
      <c r="AE36" s="91"/>
      <c r="AF36" s="68">
        <f t="shared" si="23"/>
        <v>391172.08</v>
      </c>
      <c r="AG36" s="68"/>
      <c r="AH36" s="91"/>
      <c r="AI36" s="105">
        <v>2300</v>
      </c>
      <c r="AJ36" s="68">
        <f t="shared" si="24"/>
        <v>388872.08</v>
      </c>
      <c r="AK36" s="68"/>
      <c r="AL36" s="91"/>
      <c r="AM36" s="105">
        <v>3025</v>
      </c>
      <c r="AN36" s="68">
        <f t="shared" si="25"/>
        <v>385847.08</v>
      </c>
      <c r="AO36" s="68"/>
      <c r="AP36" s="91"/>
      <c r="AQ36" s="105">
        <v>600</v>
      </c>
      <c r="AR36" s="68">
        <f t="shared" si="26"/>
        <v>385247.08</v>
      </c>
      <c r="AS36" s="68"/>
      <c r="AT36" s="91"/>
      <c r="AU36" s="105">
        <v>199</v>
      </c>
      <c r="AV36" s="68">
        <f>AR36+AT36-AU36</f>
        <v>385048.08</v>
      </c>
      <c r="AW36" s="68"/>
      <c r="AX36" s="91"/>
      <c r="AY36" s="105">
        <v>951.78</v>
      </c>
      <c r="AZ36" s="68">
        <f>AV36+AX36-AY36</f>
        <v>384096.3</v>
      </c>
      <c r="BA36" s="68"/>
      <c r="BB36" s="152">
        <f t="shared" si="34"/>
        <v>0</v>
      </c>
      <c r="BC36" s="152">
        <f>+G36+K36+O36+S36+W36+AA36+AE36+AI36+AM36+AQ36+AS3+AU36+AY36</f>
        <v>10385.58</v>
      </c>
      <c r="BD36" s="200">
        <f>D36+BB36-BC36</f>
        <v>384096.3</v>
      </c>
      <c r="BE36" s="200"/>
    </row>
    <row r="37" spans="1:57" x14ac:dyDescent="0.5">
      <c r="A37" s="67">
        <v>28</v>
      </c>
      <c r="B37" s="81" t="s">
        <v>57</v>
      </c>
      <c r="C37" s="67">
        <v>127</v>
      </c>
      <c r="D37" s="170">
        <f>'งบทดลองส่งรายเดือนปี59-60'!CR35+'งบทดลองส่งรายเดือนปี59-60'!CT35-'งบทดลองส่งรายเดือนปี59-60'!CU35</f>
        <v>0</v>
      </c>
      <c r="E37" s="170">
        <v>394481.88</v>
      </c>
      <c r="F37" s="91"/>
      <c r="G37" s="91"/>
      <c r="H37" s="68">
        <f t="shared" si="14"/>
        <v>0</v>
      </c>
      <c r="I37" s="68">
        <f t="shared" ref="I37:I47" si="35">+E37+G37-F37</f>
        <v>394481.88</v>
      </c>
      <c r="J37" s="91"/>
      <c r="K37" s="91"/>
      <c r="L37" s="68">
        <f t="shared" si="15"/>
        <v>0</v>
      </c>
      <c r="M37" s="68">
        <f t="shared" ref="M37:M47" si="36">+I37+K37-J37</f>
        <v>394481.88</v>
      </c>
      <c r="N37" s="91"/>
      <c r="O37" s="91"/>
      <c r="P37" s="68">
        <f t="shared" si="16"/>
        <v>0</v>
      </c>
      <c r="Q37" s="68">
        <f t="shared" ref="Q37:Q47" si="37">+M37+O37-N37</f>
        <v>394481.88</v>
      </c>
      <c r="R37" s="91"/>
      <c r="S37" s="91"/>
      <c r="T37" s="68">
        <f t="shared" si="20"/>
        <v>0</v>
      </c>
      <c r="U37" s="68">
        <f t="shared" ref="U37:U47" si="38">+Q37+S37-R37</f>
        <v>394481.88</v>
      </c>
      <c r="V37" s="91"/>
      <c r="W37" s="91"/>
      <c r="X37" s="68">
        <f t="shared" si="21"/>
        <v>0</v>
      </c>
      <c r="Y37" s="68">
        <f t="shared" ref="Y37:Y47" si="39">+U37+W37-V37</f>
        <v>394481.88</v>
      </c>
      <c r="Z37" s="91"/>
      <c r="AA37" s="91"/>
      <c r="AB37" s="68">
        <f t="shared" si="22"/>
        <v>0</v>
      </c>
      <c r="AC37" s="68">
        <f t="shared" ref="AC37:AC47" si="40">+Y37+AA37-Z37</f>
        <v>394481.88</v>
      </c>
      <c r="AD37" s="91"/>
      <c r="AE37" s="91"/>
      <c r="AF37" s="68">
        <f t="shared" si="23"/>
        <v>0</v>
      </c>
      <c r="AG37" s="68">
        <f t="shared" ref="AG37:AG47" si="41">+AC37+AE37-AD37</f>
        <v>394481.88</v>
      </c>
      <c r="AH37" s="91"/>
      <c r="AI37" s="91"/>
      <c r="AJ37" s="68">
        <f t="shared" si="24"/>
        <v>0</v>
      </c>
      <c r="AK37" s="68">
        <f t="shared" ref="AK37" si="42">+AG37+AI37-AH37</f>
        <v>394481.88</v>
      </c>
      <c r="AL37" s="91"/>
      <c r="AM37" s="91"/>
      <c r="AN37" s="68">
        <f t="shared" si="25"/>
        <v>0</v>
      </c>
      <c r="AO37" s="68">
        <f t="shared" ref="AO37" si="43">+AK37+AM37-AL37</f>
        <v>394481.88</v>
      </c>
      <c r="AP37" s="91"/>
      <c r="AQ37" s="91"/>
      <c r="AR37" s="68">
        <f t="shared" si="26"/>
        <v>0</v>
      </c>
      <c r="AS37" s="68">
        <f t="shared" ref="AS37" si="44">+AO37+AQ37-AP37</f>
        <v>394481.88</v>
      </c>
      <c r="AT37" s="91"/>
      <c r="AU37" s="91"/>
      <c r="AV37" s="68">
        <f>BD37+AT37-AU37</f>
        <v>0</v>
      </c>
      <c r="AW37" s="68">
        <f>+BE37+AU37-AT37</f>
        <v>394481.88</v>
      </c>
      <c r="AX37" s="91"/>
      <c r="AY37" s="91"/>
      <c r="AZ37" s="68">
        <f>BH37+AX37-AY37</f>
        <v>0</v>
      </c>
      <c r="BA37" s="68">
        <f>AW37+AY37-AX37</f>
        <v>394481.88</v>
      </c>
      <c r="BB37" s="152">
        <f t="shared" si="34"/>
        <v>0</v>
      </c>
      <c r="BC37" s="152"/>
      <c r="BD37" s="200"/>
      <c r="BE37" s="200">
        <f>AS37</f>
        <v>394481.88</v>
      </c>
    </row>
    <row r="38" spans="1:57" s="180" customFormat="1" ht="24" x14ac:dyDescent="0.5">
      <c r="A38" s="181"/>
      <c r="B38" s="185" t="s">
        <v>211</v>
      </c>
      <c r="C38" s="181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52"/>
      <c r="BC38" s="152"/>
      <c r="BD38" s="200"/>
      <c r="BE38" s="200"/>
    </row>
    <row r="39" spans="1:57" x14ac:dyDescent="0.5">
      <c r="A39" s="67">
        <v>29</v>
      </c>
      <c r="B39" s="81" t="s">
        <v>58</v>
      </c>
      <c r="C39" s="67">
        <v>149</v>
      </c>
      <c r="D39" s="170"/>
      <c r="E39" s="170">
        <v>374064.59</v>
      </c>
      <c r="F39" s="91">
        <v>811.3</v>
      </c>
      <c r="G39" s="91">
        <v>800</v>
      </c>
      <c r="H39" s="68"/>
      <c r="I39" s="68">
        <f t="shared" si="35"/>
        <v>374053.29000000004</v>
      </c>
      <c r="J39" s="91">
        <v>471.15</v>
      </c>
      <c r="K39" s="91">
        <v>230</v>
      </c>
      <c r="L39" s="68"/>
      <c r="M39" s="68">
        <f t="shared" si="36"/>
        <v>373812.14</v>
      </c>
      <c r="N39" s="91"/>
      <c r="O39" s="91">
        <v>780</v>
      </c>
      <c r="P39" s="68"/>
      <c r="Q39" s="68">
        <f t="shared" si="37"/>
        <v>374592.14</v>
      </c>
      <c r="R39" s="91"/>
      <c r="S39" s="91"/>
      <c r="T39" s="68"/>
      <c r="U39" s="68">
        <f t="shared" si="38"/>
        <v>374592.14</v>
      </c>
      <c r="V39" s="91"/>
      <c r="W39" s="91">
        <v>1840</v>
      </c>
      <c r="X39" s="68"/>
      <c r="Y39" s="68">
        <f t="shared" si="39"/>
        <v>376432.14</v>
      </c>
      <c r="Z39" s="91">
        <v>3447.2</v>
      </c>
      <c r="AA39" s="91">
        <v>400</v>
      </c>
      <c r="AB39" s="68"/>
      <c r="AC39" s="68">
        <f t="shared" si="40"/>
        <v>373384.94</v>
      </c>
      <c r="AD39" s="91"/>
      <c r="AE39" s="91">
        <v>100</v>
      </c>
      <c r="AF39" s="68"/>
      <c r="AG39" s="68">
        <f t="shared" si="41"/>
        <v>373484.94</v>
      </c>
      <c r="AH39" s="91">
        <v>968.21</v>
      </c>
      <c r="AI39" s="91">
        <v>300</v>
      </c>
      <c r="AJ39" s="68"/>
      <c r="AK39" s="68">
        <f t="shared" ref="AK39:AK47" si="45">+AG39+AI39-AH39</f>
        <v>372816.73</v>
      </c>
      <c r="AL39" s="91"/>
      <c r="AM39" s="91">
        <v>2460</v>
      </c>
      <c r="AN39" s="68"/>
      <c r="AO39" s="68">
        <f t="shared" ref="AO39:AO47" si="46">+AK39+AM39-AL39</f>
        <v>375276.73</v>
      </c>
      <c r="AP39" s="91"/>
      <c r="AQ39" s="91">
        <v>1510</v>
      </c>
      <c r="AR39" s="68"/>
      <c r="AS39" s="68">
        <f>+AO39+AQ39-AP39</f>
        <v>376786.73</v>
      </c>
      <c r="AT39" s="91">
        <v>1000</v>
      </c>
      <c r="AU39" s="91">
        <v>4710</v>
      </c>
      <c r="AV39" s="68"/>
      <c r="AW39" s="68">
        <f>AS39+AU39-AT39</f>
        <v>380496.73</v>
      </c>
      <c r="AX39" s="91">
        <v>700</v>
      </c>
      <c r="AY39" s="91">
        <v>4080</v>
      </c>
      <c r="AZ39" s="68"/>
      <c r="BA39" s="68">
        <f>AW39+AY39-AX39</f>
        <v>383876.73</v>
      </c>
      <c r="BB39" s="152">
        <f>+F39+J39+N39+R39+V39+Z39+AD39+AH39+AL39+AP39+AT39+AX39</f>
        <v>7397.86</v>
      </c>
      <c r="BC39" s="152">
        <f>+G39+K39+O39+S39+W39+AA39+AE39+AI39+AM39+AQ39+AU39+AY39</f>
        <v>17210</v>
      </c>
      <c r="BD39" s="200"/>
      <c r="BE39" s="200">
        <f>E39+BC39-BB39</f>
        <v>383876.73000000004</v>
      </c>
    </row>
    <row r="40" spans="1:57" x14ac:dyDescent="0.5">
      <c r="A40" s="67">
        <v>30</v>
      </c>
      <c r="B40" s="81" t="s">
        <v>59</v>
      </c>
      <c r="C40" s="67">
        <v>155</v>
      </c>
      <c r="D40" s="170">
        <f>'งบทดลองส่งรายเดือนปี59-60'!CR37+'งบทดลองส่งรายเดือนปี59-60'!CT37-'งบทดลองส่งรายเดือนปี59-60'!CU37</f>
        <v>0</v>
      </c>
      <c r="E40" s="170">
        <v>24618.74</v>
      </c>
      <c r="F40" s="91"/>
      <c r="G40" s="91"/>
      <c r="H40" s="68">
        <f t="shared" ref="H40:H51" si="47">D40+F40-G40</f>
        <v>0</v>
      </c>
      <c r="I40" s="68">
        <f t="shared" si="35"/>
        <v>24618.74</v>
      </c>
      <c r="J40" s="91"/>
      <c r="K40" s="91"/>
      <c r="L40" s="68">
        <f t="shared" ref="L40:L51" si="48">H40+J40-K40</f>
        <v>0</v>
      </c>
      <c r="M40" s="68">
        <f t="shared" si="36"/>
        <v>24618.74</v>
      </c>
      <c r="N40" s="91"/>
      <c r="O40" s="91"/>
      <c r="P40" s="68">
        <f t="shared" ref="P40:P51" si="49">L40+N40-O40</f>
        <v>0</v>
      </c>
      <c r="Q40" s="68">
        <f t="shared" si="37"/>
        <v>24618.74</v>
      </c>
      <c r="R40" s="91"/>
      <c r="S40" s="91"/>
      <c r="T40" s="68">
        <f t="shared" ref="T40:T51" si="50">P40+R40-S40</f>
        <v>0</v>
      </c>
      <c r="U40" s="68">
        <f t="shared" si="38"/>
        <v>24618.74</v>
      </c>
      <c r="V40" s="91"/>
      <c r="W40" s="91"/>
      <c r="X40" s="68">
        <f t="shared" ref="X40:X51" si="51">T40+V40-W40</f>
        <v>0</v>
      </c>
      <c r="Y40" s="68">
        <f t="shared" si="39"/>
        <v>24618.74</v>
      </c>
      <c r="Z40" s="91"/>
      <c r="AA40" s="91"/>
      <c r="AB40" s="68">
        <f t="shared" ref="AB40:AB51" si="52">X40+Z40-AA40</f>
        <v>0</v>
      </c>
      <c r="AC40" s="68">
        <f t="shared" si="40"/>
        <v>24618.74</v>
      </c>
      <c r="AD40" s="91"/>
      <c r="AE40" s="91"/>
      <c r="AF40" s="68">
        <f t="shared" ref="AF40:AF51" si="53">AB40+AD40-AE40</f>
        <v>0</v>
      </c>
      <c r="AG40" s="68">
        <f t="shared" si="41"/>
        <v>24618.74</v>
      </c>
      <c r="AH40" s="91"/>
      <c r="AI40" s="91"/>
      <c r="AJ40" s="68">
        <f t="shared" ref="AJ40:AJ51" si="54">AF40+AH40-AI40</f>
        <v>0</v>
      </c>
      <c r="AK40" s="68">
        <f t="shared" si="45"/>
        <v>24618.74</v>
      </c>
      <c r="AL40" s="91"/>
      <c r="AM40" s="91"/>
      <c r="AN40" s="68">
        <f t="shared" ref="AN40:AN51" si="55">AJ40+AL40-AM40</f>
        <v>0</v>
      </c>
      <c r="AO40" s="68">
        <f t="shared" si="46"/>
        <v>24618.74</v>
      </c>
      <c r="AP40" s="91"/>
      <c r="AQ40" s="91"/>
      <c r="AR40" s="68">
        <f t="shared" ref="AR40:AR45" si="56">AN40+AP40-AQ40</f>
        <v>0</v>
      </c>
      <c r="AS40" s="68">
        <f t="shared" ref="AS40:AS45" si="57">+AO40+AQ40-AP40</f>
        <v>24618.74</v>
      </c>
      <c r="AT40" s="91"/>
      <c r="AU40" s="91"/>
      <c r="AV40" s="68">
        <f t="shared" ref="AV40:AV51" si="58">BD40+AT40-AU40</f>
        <v>0</v>
      </c>
      <c r="AW40" s="68">
        <f t="shared" ref="AW40:AW47" si="59">+BE40+AU40-AT40</f>
        <v>24618.74</v>
      </c>
      <c r="AX40" s="91"/>
      <c r="AY40" s="91"/>
      <c r="AZ40" s="68">
        <f t="shared" ref="AZ40:AZ51" si="60">BH40+AX40-AY40</f>
        <v>0</v>
      </c>
      <c r="BA40" s="68">
        <f>AW40+AY40-AX40</f>
        <v>24618.74</v>
      </c>
      <c r="BB40" s="152">
        <f>+F40+J40+N40+R40+V40+Z40+AD40+AH40+AL40+AP40</f>
        <v>0</v>
      </c>
      <c r="BC40" s="152">
        <f>+G40+K40+O40+S40+W40+AA40+AE40+AI40+AM40+AQ40</f>
        <v>0</v>
      </c>
      <c r="BD40" s="200"/>
      <c r="BE40" s="200">
        <f t="shared" ref="BE40:BE47" si="61">AS40</f>
        <v>24618.74</v>
      </c>
    </row>
    <row r="41" spans="1:57" x14ac:dyDescent="0.5">
      <c r="A41" s="67">
        <v>31</v>
      </c>
      <c r="B41" s="81" t="s">
        <v>6</v>
      </c>
      <c r="C41" s="67">
        <v>65</v>
      </c>
      <c r="D41" s="170">
        <f>'งบทดลองส่งรายเดือนปี59-60'!CR38+'งบทดลองส่งรายเดือนปี59-60'!CT38-'งบทดลองส่งรายเดือนปี59-60'!CU38</f>
        <v>0</v>
      </c>
      <c r="E41" s="170">
        <f>+'งบทดลองส่งรายเดือนปี59-60'!CS38+'งบทดลองส่งรายเดือนปี59-60'!CU38-'งบทดลองส่งรายเดือนปี59-60'!CT38</f>
        <v>16695</v>
      </c>
      <c r="F41" s="91"/>
      <c r="G41" s="91"/>
      <c r="H41" s="68">
        <f t="shared" si="47"/>
        <v>0</v>
      </c>
      <c r="I41" s="68">
        <f t="shared" si="35"/>
        <v>16695</v>
      </c>
      <c r="J41" s="91"/>
      <c r="K41" s="91"/>
      <c r="L41" s="68">
        <f t="shared" si="48"/>
        <v>0</v>
      </c>
      <c r="M41" s="68">
        <f t="shared" si="36"/>
        <v>16695</v>
      </c>
      <c r="N41" s="91"/>
      <c r="O41" s="91"/>
      <c r="P41" s="68">
        <f t="shared" si="49"/>
        <v>0</v>
      </c>
      <c r="Q41" s="68">
        <f t="shared" si="37"/>
        <v>16695</v>
      </c>
      <c r="R41" s="91"/>
      <c r="S41" s="91"/>
      <c r="T41" s="68">
        <f t="shared" si="50"/>
        <v>0</v>
      </c>
      <c r="U41" s="68">
        <f t="shared" si="38"/>
        <v>16695</v>
      </c>
      <c r="V41" s="91"/>
      <c r="W41" s="91"/>
      <c r="X41" s="68">
        <f t="shared" si="51"/>
        <v>0</v>
      </c>
      <c r="Y41" s="68">
        <f t="shared" si="39"/>
        <v>16695</v>
      </c>
      <c r="Z41" s="91"/>
      <c r="AA41" s="91"/>
      <c r="AB41" s="68">
        <f t="shared" si="52"/>
        <v>0</v>
      </c>
      <c r="AC41" s="68">
        <f t="shared" si="40"/>
        <v>16695</v>
      </c>
      <c r="AD41" s="91"/>
      <c r="AE41" s="91"/>
      <c r="AF41" s="68">
        <f t="shared" si="53"/>
        <v>0</v>
      </c>
      <c r="AG41" s="68">
        <f t="shared" si="41"/>
        <v>16695</v>
      </c>
      <c r="AH41" s="91"/>
      <c r="AI41" s="91"/>
      <c r="AJ41" s="68">
        <f t="shared" si="54"/>
        <v>0</v>
      </c>
      <c r="AK41" s="68">
        <f t="shared" si="45"/>
        <v>16695</v>
      </c>
      <c r="AL41" s="91"/>
      <c r="AM41" s="91"/>
      <c r="AN41" s="68">
        <f t="shared" si="55"/>
        <v>0</v>
      </c>
      <c r="AO41" s="68">
        <f t="shared" si="46"/>
        <v>16695</v>
      </c>
      <c r="AP41" s="91"/>
      <c r="AQ41" s="91"/>
      <c r="AR41" s="68">
        <f t="shared" si="56"/>
        <v>0</v>
      </c>
      <c r="AS41" s="68">
        <f t="shared" si="57"/>
        <v>16695</v>
      </c>
      <c r="AT41" s="91"/>
      <c r="AU41" s="91"/>
      <c r="AV41" s="68">
        <f t="shared" si="58"/>
        <v>0</v>
      </c>
      <c r="AW41" s="68">
        <f t="shared" si="59"/>
        <v>16695</v>
      </c>
      <c r="AX41" s="91"/>
      <c r="AY41" s="91"/>
      <c r="AZ41" s="68">
        <f t="shared" si="60"/>
        <v>0</v>
      </c>
      <c r="BA41" s="68">
        <f t="shared" ref="BA41:BA51" si="62">AW41+AY41-AX41</f>
        <v>16695</v>
      </c>
      <c r="BB41" s="152"/>
      <c r="BC41" s="152">
        <f t="shared" ref="BC41:BC68" si="63">+G41+K41+O41+S41+W41+AA41+AE41+AI41+AM41+AQ41</f>
        <v>0</v>
      </c>
      <c r="BD41" s="200"/>
      <c r="BE41" s="200">
        <f t="shared" si="61"/>
        <v>16695</v>
      </c>
    </row>
    <row r="42" spans="1:57" x14ac:dyDescent="0.5">
      <c r="A42" s="67">
        <v>32</v>
      </c>
      <c r="B42" s="81" t="s">
        <v>5</v>
      </c>
      <c r="C42" s="67">
        <v>159</v>
      </c>
      <c r="D42" s="170">
        <f>'งบทดลองส่งรายเดือนปี59-60'!CR39+'งบทดลองส่งรายเดือนปี59-60'!CT39-'งบทดลองส่งรายเดือนปี59-60'!CU39</f>
        <v>0</v>
      </c>
      <c r="E42" s="170">
        <f>+'งบทดลองส่งรายเดือนปี59-60'!CS39+'งบทดลองส่งรายเดือนปี59-60'!CU39-'งบทดลองส่งรายเดือนปี59-60'!CT39</f>
        <v>600</v>
      </c>
      <c r="F42" s="91"/>
      <c r="G42" s="91"/>
      <c r="H42" s="68">
        <f t="shared" si="47"/>
        <v>0</v>
      </c>
      <c r="I42" s="68">
        <f t="shared" si="35"/>
        <v>600</v>
      </c>
      <c r="J42" s="91"/>
      <c r="K42" s="91"/>
      <c r="L42" s="68">
        <f t="shared" si="48"/>
        <v>0</v>
      </c>
      <c r="M42" s="68">
        <f t="shared" si="36"/>
        <v>600</v>
      </c>
      <c r="N42" s="91"/>
      <c r="O42" s="91"/>
      <c r="P42" s="68">
        <f t="shared" si="49"/>
        <v>0</v>
      </c>
      <c r="Q42" s="68">
        <f t="shared" si="37"/>
        <v>600</v>
      </c>
      <c r="R42" s="91"/>
      <c r="S42" s="91"/>
      <c r="T42" s="68">
        <f t="shared" si="50"/>
        <v>0</v>
      </c>
      <c r="U42" s="68">
        <f t="shared" si="38"/>
        <v>600</v>
      </c>
      <c r="V42" s="91"/>
      <c r="W42" s="91"/>
      <c r="X42" s="68">
        <f t="shared" si="51"/>
        <v>0</v>
      </c>
      <c r="Y42" s="68">
        <f t="shared" si="39"/>
        <v>600</v>
      </c>
      <c r="Z42" s="91"/>
      <c r="AA42" s="91"/>
      <c r="AB42" s="68">
        <f t="shared" si="52"/>
        <v>0</v>
      </c>
      <c r="AC42" s="68">
        <f t="shared" si="40"/>
        <v>600</v>
      </c>
      <c r="AD42" s="91"/>
      <c r="AE42" s="91"/>
      <c r="AF42" s="68">
        <f t="shared" si="53"/>
        <v>0</v>
      </c>
      <c r="AG42" s="68">
        <f t="shared" si="41"/>
        <v>600</v>
      </c>
      <c r="AH42" s="91"/>
      <c r="AI42" s="91"/>
      <c r="AJ42" s="68">
        <f t="shared" si="54"/>
        <v>0</v>
      </c>
      <c r="AK42" s="68">
        <f t="shared" si="45"/>
        <v>600</v>
      </c>
      <c r="AL42" s="91"/>
      <c r="AM42" s="91"/>
      <c r="AN42" s="68">
        <f t="shared" si="55"/>
        <v>0</v>
      </c>
      <c r="AO42" s="68">
        <f t="shared" si="46"/>
        <v>600</v>
      </c>
      <c r="AP42" s="91"/>
      <c r="AQ42" s="91"/>
      <c r="AR42" s="68">
        <f t="shared" si="56"/>
        <v>0</v>
      </c>
      <c r="AS42" s="68">
        <f t="shared" si="57"/>
        <v>600</v>
      </c>
      <c r="AT42" s="91"/>
      <c r="AU42" s="91"/>
      <c r="AV42" s="68">
        <f t="shared" si="58"/>
        <v>0</v>
      </c>
      <c r="AW42" s="68">
        <f t="shared" si="59"/>
        <v>600</v>
      </c>
      <c r="AX42" s="91"/>
      <c r="AY42" s="91"/>
      <c r="AZ42" s="68">
        <f t="shared" si="60"/>
        <v>0</v>
      </c>
      <c r="BA42" s="68">
        <f t="shared" si="62"/>
        <v>600</v>
      </c>
      <c r="BB42" s="152"/>
      <c r="BC42" s="152">
        <f t="shared" si="63"/>
        <v>0</v>
      </c>
      <c r="BD42" s="200"/>
      <c r="BE42" s="200">
        <f t="shared" si="61"/>
        <v>600</v>
      </c>
    </row>
    <row r="43" spans="1:57" x14ac:dyDescent="0.5">
      <c r="A43" s="67">
        <v>33</v>
      </c>
      <c r="B43" s="81" t="s">
        <v>0</v>
      </c>
      <c r="C43" s="67">
        <v>163</v>
      </c>
      <c r="D43" s="170">
        <f>'งบทดลองส่งรายเดือนปี59-60'!CR40+'งบทดลองส่งรายเดือนปี59-60'!CT40-'งบทดลองส่งรายเดือนปี59-60'!CU40</f>
        <v>0</v>
      </c>
      <c r="E43" s="170">
        <v>6309.34</v>
      </c>
      <c r="F43" s="91"/>
      <c r="G43" s="91"/>
      <c r="H43" s="68">
        <f t="shared" si="47"/>
        <v>0</v>
      </c>
      <c r="I43" s="68">
        <f t="shared" si="35"/>
        <v>6309.34</v>
      </c>
      <c r="J43" s="91"/>
      <c r="K43" s="91"/>
      <c r="L43" s="68">
        <f t="shared" si="48"/>
        <v>0</v>
      </c>
      <c r="M43" s="68">
        <f t="shared" si="36"/>
        <v>6309.34</v>
      </c>
      <c r="N43" s="91"/>
      <c r="O43" s="91"/>
      <c r="P43" s="68">
        <f t="shared" si="49"/>
        <v>0</v>
      </c>
      <c r="Q43" s="68">
        <f t="shared" si="37"/>
        <v>6309.34</v>
      </c>
      <c r="R43" s="91"/>
      <c r="S43" s="91"/>
      <c r="T43" s="68">
        <f t="shared" si="50"/>
        <v>0</v>
      </c>
      <c r="U43" s="68">
        <f t="shared" si="38"/>
        <v>6309.34</v>
      </c>
      <c r="V43" s="91"/>
      <c r="W43" s="91"/>
      <c r="X43" s="68">
        <f t="shared" si="51"/>
        <v>0</v>
      </c>
      <c r="Y43" s="68">
        <f t="shared" si="39"/>
        <v>6309.34</v>
      </c>
      <c r="Z43" s="91"/>
      <c r="AA43" s="91"/>
      <c r="AB43" s="68">
        <f t="shared" si="52"/>
        <v>0</v>
      </c>
      <c r="AC43" s="68">
        <f t="shared" si="40"/>
        <v>6309.34</v>
      </c>
      <c r="AD43" s="91"/>
      <c r="AE43" s="91"/>
      <c r="AF43" s="68">
        <f t="shared" si="53"/>
        <v>0</v>
      </c>
      <c r="AG43" s="68">
        <f t="shared" si="41"/>
        <v>6309.34</v>
      </c>
      <c r="AH43" s="91"/>
      <c r="AI43" s="91"/>
      <c r="AJ43" s="68">
        <f t="shared" si="54"/>
        <v>0</v>
      </c>
      <c r="AK43" s="68">
        <f t="shared" si="45"/>
        <v>6309.34</v>
      </c>
      <c r="AL43" s="91"/>
      <c r="AM43" s="91"/>
      <c r="AN43" s="68">
        <f t="shared" si="55"/>
        <v>0</v>
      </c>
      <c r="AO43" s="68">
        <f t="shared" si="46"/>
        <v>6309.34</v>
      </c>
      <c r="AP43" s="91"/>
      <c r="AQ43" s="91"/>
      <c r="AR43" s="68">
        <f t="shared" si="56"/>
        <v>0</v>
      </c>
      <c r="AS43" s="68">
        <f t="shared" si="57"/>
        <v>6309.34</v>
      </c>
      <c r="AT43" s="91"/>
      <c r="AU43" s="91"/>
      <c r="AV43" s="68">
        <f t="shared" si="58"/>
        <v>0</v>
      </c>
      <c r="AW43" s="68">
        <f t="shared" si="59"/>
        <v>6309.34</v>
      </c>
      <c r="AX43" s="91"/>
      <c r="AY43" s="91"/>
      <c r="AZ43" s="68">
        <f t="shared" si="60"/>
        <v>0</v>
      </c>
      <c r="BA43" s="68">
        <f t="shared" si="62"/>
        <v>6309.34</v>
      </c>
      <c r="BB43" s="152"/>
      <c r="BC43" s="152">
        <f t="shared" si="63"/>
        <v>0</v>
      </c>
      <c r="BD43" s="200"/>
      <c r="BE43" s="200">
        <f t="shared" si="61"/>
        <v>6309.34</v>
      </c>
    </row>
    <row r="44" spans="1:57" x14ac:dyDescent="0.5">
      <c r="A44" s="67">
        <v>34</v>
      </c>
      <c r="B44" s="81" t="s">
        <v>60</v>
      </c>
      <c r="C44" s="67">
        <v>167</v>
      </c>
      <c r="D44" s="170">
        <f>'งบทดลองส่งรายเดือนปี59-60'!CR41+'งบทดลองส่งรายเดือนปี59-60'!CT41-'งบทดลองส่งรายเดือนปี59-60'!CU41</f>
        <v>0</v>
      </c>
      <c r="E44" s="170">
        <f>+'งบทดลองส่งรายเดือนปี59-60'!CS41+'งบทดลองส่งรายเดือนปี59-60'!CU41-'งบทดลองส่งรายเดือนปี59-60'!CT41</f>
        <v>600</v>
      </c>
      <c r="F44" s="91"/>
      <c r="G44" s="91"/>
      <c r="H44" s="68">
        <f t="shared" si="47"/>
        <v>0</v>
      </c>
      <c r="I44" s="68">
        <f t="shared" si="35"/>
        <v>600</v>
      </c>
      <c r="J44" s="91"/>
      <c r="K44" s="91"/>
      <c r="L44" s="68">
        <f t="shared" si="48"/>
        <v>0</v>
      </c>
      <c r="M44" s="68">
        <f t="shared" si="36"/>
        <v>600</v>
      </c>
      <c r="N44" s="91"/>
      <c r="O44" s="91"/>
      <c r="P44" s="68">
        <f t="shared" si="49"/>
        <v>0</v>
      </c>
      <c r="Q44" s="68">
        <f t="shared" si="37"/>
        <v>600</v>
      </c>
      <c r="R44" s="91"/>
      <c r="S44" s="91"/>
      <c r="T44" s="68">
        <f t="shared" si="50"/>
        <v>0</v>
      </c>
      <c r="U44" s="68">
        <f t="shared" si="38"/>
        <v>600</v>
      </c>
      <c r="V44" s="91"/>
      <c r="W44" s="91"/>
      <c r="X44" s="68">
        <f t="shared" si="51"/>
        <v>0</v>
      </c>
      <c r="Y44" s="68">
        <f t="shared" si="39"/>
        <v>600</v>
      </c>
      <c r="Z44" s="91"/>
      <c r="AA44" s="91"/>
      <c r="AB44" s="68">
        <f t="shared" si="52"/>
        <v>0</v>
      </c>
      <c r="AC44" s="68">
        <f t="shared" si="40"/>
        <v>600</v>
      </c>
      <c r="AD44" s="91"/>
      <c r="AE44" s="91"/>
      <c r="AF44" s="68">
        <f t="shared" si="53"/>
        <v>0</v>
      </c>
      <c r="AG44" s="68">
        <f t="shared" si="41"/>
        <v>600</v>
      </c>
      <c r="AH44" s="91"/>
      <c r="AI44" s="91"/>
      <c r="AJ44" s="68">
        <f t="shared" si="54"/>
        <v>0</v>
      </c>
      <c r="AK44" s="68">
        <f t="shared" si="45"/>
        <v>600</v>
      </c>
      <c r="AL44" s="91"/>
      <c r="AM44" s="91"/>
      <c r="AN44" s="68">
        <f t="shared" si="55"/>
        <v>0</v>
      </c>
      <c r="AO44" s="68">
        <f t="shared" si="46"/>
        <v>600</v>
      </c>
      <c r="AP44" s="91"/>
      <c r="AQ44" s="91"/>
      <c r="AR44" s="68">
        <f t="shared" si="56"/>
        <v>0</v>
      </c>
      <c r="AS44" s="68">
        <f t="shared" si="57"/>
        <v>600</v>
      </c>
      <c r="AT44" s="91"/>
      <c r="AU44" s="91"/>
      <c r="AV44" s="68">
        <f t="shared" si="58"/>
        <v>0</v>
      </c>
      <c r="AW44" s="68">
        <f t="shared" si="59"/>
        <v>600</v>
      </c>
      <c r="AX44" s="91"/>
      <c r="AY44" s="91"/>
      <c r="AZ44" s="68">
        <f t="shared" si="60"/>
        <v>0</v>
      </c>
      <c r="BA44" s="68">
        <f t="shared" si="62"/>
        <v>600</v>
      </c>
      <c r="BB44" s="152"/>
      <c r="BC44" s="152">
        <f t="shared" si="63"/>
        <v>0</v>
      </c>
      <c r="BD44" s="200"/>
      <c r="BE44" s="200">
        <f t="shared" si="61"/>
        <v>600</v>
      </c>
    </row>
    <row r="45" spans="1:57" x14ac:dyDescent="0.5">
      <c r="A45" s="67">
        <v>35</v>
      </c>
      <c r="B45" s="81" t="s">
        <v>61</v>
      </c>
      <c r="C45" s="67">
        <v>171</v>
      </c>
      <c r="D45" s="170">
        <f>'งบทดลองส่งรายเดือนปี59-60'!CR42+'งบทดลองส่งรายเดือนปี59-60'!CT42-'งบทดลองส่งรายเดือนปี59-60'!CU42</f>
        <v>0</v>
      </c>
      <c r="E45" s="170">
        <f>+'งบทดลองส่งรายเดือนปี59-60'!CS42+'งบทดลองส่งรายเดือนปี59-60'!CU42-'งบทดลองส่งรายเดือนปี59-60'!CT42</f>
        <v>69060.149999999994</v>
      </c>
      <c r="F45" s="91"/>
      <c r="G45" s="91"/>
      <c r="H45" s="68">
        <f t="shared" si="47"/>
        <v>0</v>
      </c>
      <c r="I45" s="68">
        <f t="shared" si="35"/>
        <v>69060.149999999994</v>
      </c>
      <c r="J45" s="91"/>
      <c r="K45" s="91"/>
      <c r="L45" s="68">
        <f t="shared" si="48"/>
        <v>0</v>
      </c>
      <c r="M45" s="68">
        <f t="shared" si="36"/>
        <v>69060.149999999994</v>
      </c>
      <c r="N45" s="91"/>
      <c r="O45" s="91"/>
      <c r="P45" s="68">
        <f t="shared" si="49"/>
        <v>0</v>
      </c>
      <c r="Q45" s="68">
        <f t="shared" si="37"/>
        <v>69060.149999999994</v>
      </c>
      <c r="R45" s="91"/>
      <c r="S45" s="91"/>
      <c r="T45" s="68">
        <f t="shared" si="50"/>
        <v>0</v>
      </c>
      <c r="U45" s="68">
        <f t="shared" si="38"/>
        <v>69060.149999999994</v>
      </c>
      <c r="V45" s="91"/>
      <c r="W45" s="91"/>
      <c r="X45" s="68">
        <f t="shared" si="51"/>
        <v>0</v>
      </c>
      <c r="Y45" s="68">
        <f t="shared" si="39"/>
        <v>69060.149999999994</v>
      </c>
      <c r="Z45" s="91"/>
      <c r="AA45" s="91"/>
      <c r="AB45" s="68">
        <f t="shared" si="52"/>
        <v>0</v>
      </c>
      <c r="AC45" s="68">
        <f t="shared" si="40"/>
        <v>69060.149999999994</v>
      </c>
      <c r="AD45" s="91"/>
      <c r="AE45" s="91"/>
      <c r="AF45" s="68">
        <f t="shared" si="53"/>
        <v>0</v>
      </c>
      <c r="AG45" s="68">
        <f t="shared" si="41"/>
        <v>69060.149999999994</v>
      </c>
      <c r="AH45" s="91"/>
      <c r="AI45" s="91"/>
      <c r="AJ45" s="68">
        <f t="shared" si="54"/>
        <v>0</v>
      </c>
      <c r="AK45" s="68">
        <f t="shared" si="45"/>
        <v>69060.149999999994</v>
      </c>
      <c r="AL45" s="91"/>
      <c r="AM45" s="91"/>
      <c r="AN45" s="68">
        <f t="shared" si="55"/>
        <v>0</v>
      </c>
      <c r="AO45" s="68">
        <f t="shared" si="46"/>
        <v>69060.149999999994</v>
      </c>
      <c r="AP45" s="91"/>
      <c r="AQ45" s="91"/>
      <c r="AR45" s="68">
        <f t="shared" si="56"/>
        <v>0</v>
      </c>
      <c r="AS45" s="68">
        <f t="shared" si="57"/>
        <v>69060.149999999994</v>
      </c>
      <c r="AT45" s="91"/>
      <c r="AU45" s="91"/>
      <c r="AV45" s="68">
        <f t="shared" si="58"/>
        <v>0</v>
      </c>
      <c r="AW45" s="68">
        <f t="shared" si="59"/>
        <v>69060.149999999994</v>
      </c>
      <c r="AX45" s="91"/>
      <c r="AY45" s="91"/>
      <c r="AZ45" s="68">
        <f t="shared" si="60"/>
        <v>0</v>
      </c>
      <c r="BA45" s="68">
        <f t="shared" si="62"/>
        <v>69060.149999999994</v>
      </c>
      <c r="BB45" s="152"/>
      <c r="BC45" s="152">
        <f t="shared" si="63"/>
        <v>0</v>
      </c>
      <c r="BD45" s="200"/>
      <c r="BE45" s="200">
        <f t="shared" si="61"/>
        <v>69060.149999999994</v>
      </c>
    </row>
    <row r="46" spans="1:57" x14ac:dyDescent="0.5">
      <c r="A46" s="67">
        <v>37</v>
      </c>
      <c r="B46" s="100" t="s">
        <v>223</v>
      </c>
      <c r="C46" s="67">
        <v>186</v>
      </c>
      <c r="D46" s="170">
        <f>'งบทดลองส่งรายเดือนปี59-60'!CR44+'งบทดลองส่งรายเดือนปี59-60'!CT44-'งบทดลองส่งรายเดือนปี59-60'!CU44</f>
        <v>0</v>
      </c>
      <c r="E46" s="170">
        <v>0</v>
      </c>
      <c r="F46" s="91"/>
      <c r="G46" s="91"/>
      <c r="H46" s="68">
        <f>D46+F46-G46</f>
        <v>0</v>
      </c>
      <c r="I46" s="68">
        <f>+E46+G46-F46</f>
        <v>0</v>
      </c>
      <c r="J46" s="91"/>
      <c r="K46" s="91"/>
      <c r="L46" s="68">
        <f>H46+J46-K46</f>
        <v>0</v>
      </c>
      <c r="M46" s="68">
        <f>+I46+K46-J46</f>
        <v>0</v>
      </c>
      <c r="N46" s="91"/>
      <c r="O46" s="91"/>
      <c r="P46" s="68">
        <f>L46+N46-O46</f>
        <v>0</v>
      </c>
      <c r="Q46" s="68">
        <f>+M46+O46-N46</f>
        <v>0</v>
      </c>
      <c r="R46" s="91"/>
      <c r="S46" s="91"/>
      <c r="T46" s="68">
        <f>P46+R46-S46</f>
        <v>0</v>
      </c>
      <c r="U46" s="68">
        <f>+Q46+S46-R46</f>
        <v>0</v>
      </c>
      <c r="V46" s="91"/>
      <c r="W46" s="91"/>
      <c r="X46" s="68">
        <f>T46+V46-W46</f>
        <v>0</v>
      </c>
      <c r="Y46" s="68">
        <f>+U46+W46-V46</f>
        <v>0</v>
      </c>
      <c r="Z46" s="91"/>
      <c r="AA46" s="91"/>
      <c r="AB46" s="68">
        <f>X46+Z46-AA46</f>
        <v>0</v>
      </c>
      <c r="AC46" s="68">
        <f>+Y46+AA46-Z46</f>
        <v>0</v>
      </c>
      <c r="AD46" s="91"/>
      <c r="AE46" s="91"/>
      <c r="AF46" s="68">
        <f>AB46+AD46-AE46</f>
        <v>0</v>
      </c>
      <c r="AG46" s="68">
        <f>+AC46+AE46-AD46</f>
        <v>0</v>
      </c>
      <c r="AH46" s="91"/>
      <c r="AI46" s="91">
        <v>135360</v>
      </c>
      <c r="AJ46" s="68"/>
      <c r="AK46" s="68">
        <f>+AG46+AI46-AH46</f>
        <v>135360</v>
      </c>
      <c r="AL46" s="91"/>
      <c r="AM46" s="91"/>
      <c r="AN46" s="68">
        <f>AJ46+AL46-AM46</f>
        <v>0</v>
      </c>
      <c r="AO46" s="68">
        <f>+AK46+AM46-AL46</f>
        <v>135360</v>
      </c>
      <c r="AP46" s="91"/>
      <c r="AQ46" s="91"/>
      <c r="AR46" s="68">
        <f>AN46+AP46-AQ46</f>
        <v>0</v>
      </c>
      <c r="AS46" s="68">
        <f>+AO46+AQ46-AP46</f>
        <v>135360</v>
      </c>
      <c r="AT46" s="91"/>
      <c r="AU46" s="91"/>
      <c r="AV46" s="68">
        <f t="shared" si="58"/>
        <v>0</v>
      </c>
      <c r="AW46" s="68">
        <f t="shared" si="59"/>
        <v>135360</v>
      </c>
      <c r="AX46" s="91"/>
      <c r="AY46" s="91"/>
      <c r="AZ46" s="68">
        <f t="shared" si="60"/>
        <v>0</v>
      </c>
      <c r="BA46" s="68">
        <f t="shared" si="62"/>
        <v>135360</v>
      </c>
      <c r="BB46" s="152">
        <f t="shared" si="34"/>
        <v>0</v>
      </c>
      <c r="BC46" s="152">
        <f t="shared" si="63"/>
        <v>135360</v>
      </c>
      <c r="BD46" s="200"/>
      <c r="BE46" s="200">
        <f t="shared" si="61"/>
        <v>135360</v>
      </c>
    </row>
    <row r="47" spans="1:57" x14ac:dyDescent="0.5">
      <c r="A47" s="67">
        <v>36</v>
      </c>
      <c r="B47" s="100" t="s">
        <v>224</v>
      </c>
      <c r="C47" s="67">
        <v>187</v>
      </c>
      <c r="D47" s="170">
        <f>'งบทดลองส่งรายเดือนปี59-60'!CR43+'งบทดลองส่งรายเดือนปี59-60'!CT43-'งบทดลองส่งรายเดือนปี59-60'!CU43</f>
        <v>0</v>
      </c>
      <c r="E47" s="170">
        <f>+'งบทดลองส่งรายเดือนปี59-60'!CS43+'งบทดลองส่งรายเดือนปี59-60'!CU43-'งบทดลองส่งรายเดือนปี59-60'!CT43</f>
        <v>0</v>
      </c>
      <c r="F47" s="91"/>
      <c r="G47" s="91"/>
      <c r="H47" s="68">
        <f t="shared" si="47"/>
        <v>0</v>
      </c>
      <c r="I47" s="68">
        <f t="shared" si="35"/>
        <v>0</v>
      </c>
      <c r="J47" s="91"/>
      <c r="K47" s="91"/>
      <c r="L47" s="68">
        <f t="shared" si="48"/>
        <v>0</v>
      </c>
      <c r="M47" s="68">
        <f t="shared" si="36"/>
        <v>0</v>
      </c>
      <c r="N47" s="91"/>
      <c r="O47" s="91"/>
      <c r="P47" s="68">
        <f t="shared" si="49"/>
        <v>0</v>
      </c>
      <c r="Q47" s="68">
        <f t="shared" si="37"/>
        <v>0</v>
      </c>
      <c r="R47" s="91"/>
      <c r="S47" s="91"/>
      <c r="T47" s="68">
        <f t="shared" si="50"/>
        <v>0</v>
      </c>
      <c r="U47" s="68">
        <f t="shared" si="38"/>
        <v>0</v>
      </c>
      <c r="V47" s="91"/>
      <c r="W47" s="91"/>
      <c r="X47" s="68">
        <f t="shared" si="51"/>
        <v>0</v>
      </c>
      <c r="Y47" s="68">
        <f t="shared" si="39"/>
        <v>0</v>
      </c>
      <c r="Z47" s="91"/>
      <c r="AA47" s="91"/>
      <c r="AB47" s="68">
        <f t="shared" si="52"/>
        <v>0</v>
      </c>
      <c r="AC47" s="68">
        <f t="shared" si="40"/>
        <v>0</v>
      </c>
      <c r="AD47" s="91"/>
      <c r="AE47" s="91"/>
      <c r="AF47" s="68">
        <f t="shared" si="53"/>
        <v>0</v>
      </c>
      <c r="AG47" s="68">
        <f t="shared" si="41"/>
        <v>0</v>
      </c>
      <c r="AH47" s="91"/>
      <c r="AI47" s="91">
        <v>35000</v>
      </c>
      <c r="AJ47" s="68"/>
      <c r="AK47" s="68">
        <f t="shared" si="45"/>
        <v>35000</v>
      </c>
      <c r="AL47" s="91"/>
      <c r="AM47" s="91"/>
      <c r="AN47" s="68">
        <f t="shared" si="55"/>
        <v>0</v>
      </c>
      <c r="AO47" s="68">
        <f t="shared" si="46"/>
        <v>35000</v>
      </c>
      <c r="AP47" s="91"/>
      <c r="AQ47" s="91"/>
      <c r="AR47" s="68">
        <f t="shared" ref="AR47:AR51" si="64">AN47+AP47-AQ47</f>
        <v>0</v>
      </c>
      <c r="AS47" s="68">
        <f t="shared" ref="AS47" si="65">+AO47+AQ47-AP47</f>
        <v>35000</v>
      </c>
      <c r="AT47" s="91"/>
      <c r="AU47" s="91"/>
      <c r="AV47" s="68">
        <f t="shared" si="58"/>
        <v>0</v>
      </c>
      <c r="AW47" s="68">
        <f t="shared" si="59"/>
        <v>35000</v>
      </c>
      <c r="AX47" s="91"/>
      <c r="AY47" s="91"/>
      <c r="AZ47" s="68">
        <f t="shared" si="60"/>
        <v>0</v>
      </c>
      <c r="BA47" s="68">
        <f t="shared" si="62"/>
        <v>35000</v>
      </c>
      <c r="BB47" s="152">
        <f t="shared" si="34"/>
        <v>0</v>
      </c>
      <c r="BC47" s="152">
        <f t="shared" si="63"/>
        <v>35000</v>
      </c>
      <c r="BD47" s="200"/>
      <c r="BE47" s="200">
        <f t="shared" si="61"/>
        <v>35000</v>
      </c>
    </row>
    <row r="48" spans="1:57" x14ac:dyDescent="0.5">
      <c r="A48" s="67">
        <v>38</v>
      </c>
      <c r="B48" s="83" t="s">
        <v>186</v>
      </c>
      <c r="C48" s="67"/>
      <c r="D48" s="170">
        <v>0</v>
      </c>
      <c r="E48" s="170"/>
      <c r="F48" s="91"/>
      <c r="G48" s="91"/>
      <c r="H48" s="68">
        <f t="shared" si="47"/>
        <v>0</v>
      </c>
      <c r="I48" s="68"/>
      <c r="J48" s="91"/>
      <c r="K48" s="91"/>
      <c r="L48" s="68">
        <f t="shared" si="48"/>
        <v>0</v>
      </c>
      <c r="M48" s="68"/>
      <c r="N48" s="91"/>
      <c r="O48" s="91"/>
      <c r="P48" s="68">
        <f t="shared" si="49"/>
        <v>0</v>
      </c>
      <c r="Q48" s="68"/>
      <c r="R48" s="91"/>
      <c r="S48" s="91"/>
      <c r="T48" s="68">
        <f t="shared" si="50"/>
        <v>0</v>
      </c>
      <c r="U48" s="68"/>
      <c r="V48" s="91"/>
      <c r="W48" s="91"/>
      <c r="X48" s="68">
        <f t="shared" si="51"/>
        <v>0</v>
      </c>
      <c r="Y48" s="68"/>
      <c r="Z48" s="91"/>
      <c r="AA48" s="91"/>
      <c r="AB48" s="68">
        <f t="shared" si="52"/>
        <v>0</v>
      </c>
      <c r="AC48" s="68"/>
      <c r="AD48" s="91"/>
      <c r="AE48" s="91"/>
      <c r="AF48" s="68">
        <f t="shared" si="53"/>
        <v>0</v>
      </c>
      <c r="AG48" s="68"/>
      <c r="AH48" s="91"/>
      <c r="AI48" s="91"/>
      <c r="AJ48" s="68">
        <f t="shared" si="54"/>
        <v>0</v>
      </c>
      <c r="AK48" s="68"/>
      <c r="AL48" s="91"/>
      <c r="AM48" s="91"/>
      <c r="AN48" s="68">
        <f t="shared" si="55"/>
        <v>0</v>
      </c>
      <c r="AO48" s="68"/>
      <c r="AP48" s="91"/>
      <c r="AQ48" s="91"/>
      <c r="AR48" s="68">
        <f t="shared" si="64"/>
        <v>0</v>
      </c>
      <c r="AS48" s="68"/>
      <c r="AT48" s="91"/>
      <c r="AU48" s="91"/>
      <c r="AV48" s="68">
        <f t="shared" si="58"/>
        <v>0</v>
      </c>
      <c r="AW48" s="68"/>
      <c r="AX48" s="91"/>
      <c r="AY48" s="91"/>
      <c r="AZ48" s="68">
        <f t="shared" si="60"/>
        <v>0</v>
      </c>
      <c r="BA48" s="68">
        <f t="shared" si="62"/>
        <v>0</v>
      </c>
      <c r="BB48" s="152">
        <f t="shared" si="34"/>
        <v>0</v>
      </c>
      <c r="BC48" s="152">
        <f t="shared" si="63"/>
        <v>0</v>
      </c>
      <c r="BD48" s="200">
        <f>AP48+AR48-AS48</f>
        <v>0</v>
      </c>
      <c r="BE48" s="200"/>
    </row>
    <row r="49" spans="1:57" x14ac:dyDescent="0.5">
      <c r="A49" s="67">
        <v>39</v>
      </c>
      <c r="B49" s="84" t="s">
        <v>63</v>
      </c>
      <c r="C49" s="67">
        <v>177</v>
      </c>
      <c r="D49" s="170">
        <f>'งบทดลองส่งรายเดือนปี59-60'!CR46+'งบทดลองส่งรายเดือนปี59-60'!CT46-'งบทดลองส่งรายเดือนปี59-60'!CU46</f>
        <v>0</v>
      </c>
      <c r="E49" s="170">
        <f>+'งบทดลองส่งรายเดือนปี59-60'!CS46+'งบทดลองส่งรายเดือนปี59-60'!CU46-'งบทดลองส่งรายเดือนปี59-60'!CT46</f>
        <v>200000</v>
      </c>
      <c r="F49" s="91"/>
      <c r="G49" s="91"/>
      <c r="H49" s="68">
        <f t="shared" si="47"/>
        <v>0</v>
      </c>
      <c r="I49" s="68">
        <f t="shared" ref="I49:I64" si="66">+E49+G49-F49</f>
        <v>200000</v>
      </c>
      <c r="J49" s="91"/>
      <c r="K49" s="91"/>
      <c r="L49" s="68">
        <f t="shared" si="48"/>
        <v>0</v>
      </c>
      <c r="M49" s="68">
        <f t="shared" ref="M49:M64" si="67">+I49+K49-J49</f>
        <v>200000</v>
      </c>
      <c r="N49" s="91"/>
      <c r="O49" s="91"/>
      <c r="P49" s="68">
        <f t="shared" si="49"/>
        <v>0</v>
      </c>
      <c r="Q49" s="68">
        <f t="shared" ref="Q49:Q64" si="68">+M49+O49-N49</f>
        <v>200000</v>
      </c>
      <c r="R49" s="91"/>
      <c r="S49" s="91"/>
      <c r="T49" s="68">
        <f t="shared" si="50"/>
        <v>0</v>
      </c>
      <c r="U49" s="68">
        <f t="shared" ref="U49:U64" si="69">+Q49+S49-R49</f>
        <v>200000</v>
      </c>
      <c r="V49" s="91"/>
      <c r="W49" s="91"/>
      <c r="X49" s="68">
        <f t="shared" si="51"/>
        <v>0</v>
      </c>
      <c r="Y49" s="68">
        <f t="shared" ref="Y49:Y64" si="70">+U49+W49-V49</f>
        <v>200000</v>
      </c>
      <c r="Z49" s="91"/>
      <c r="AA49" s="91"/>
      <c r="AB49" s="68">
        <f t="shared" si="52"/>
        <v>0</v>
      </c>
      <c r="AC49" s="68">
        <f t="shared" ref="AC49:AC64" si="71">+Y49+AA49-Z49</f>
        <v>200000</v>
      </c>
      <c r="AD49" s="91"/>
      <c r="AE49" s="91"/>
      <c r="AF49" s="68">
        <f t="shared" si="53"/>
        <v>0</v>
      </c>
      <c r="AG49" s="68">
        <f t="shared" ref="AG49:AG64" si="72">+AC49+AE49-AD49</f>
        <v>200000</v>
      </c>
      <c r="AH49" s="91"/>
      <c r="AI49" s="91"/>
      <c r="AJ49" s="68">
        <f t="shared" si="54"/>
        <v>0</v>
      </c>
      <c r="AK49" s="68">
        <f t="shared" ref="AK49:AK51" si="73">+AG49+AI49-AH49</f>
        <v>200000</v>
      </c>
      <c r="AL49" s="91"/>
      <c r="AM49" s="91"/>
      <c r="AN49" s="68">
        <f t="shared" si="55"/>
        <v>0</v>
      </c>
      <c r="AO49" s="68">
        <f t="shared" ref="AO49:AO51" si="74">+AK49+AM49-AL49</f>
        <v>200000</v>
      </c>
      <c r="AP49" s="91"/>
      <c r="AQ49" s="91"/>
      <c r="AR49" s="68">
        <f t="shared" si="64"/>
        <v>0</v>
      </c>
      <c r="AS49" s="68">
        <f t="shared" ref="AS49:AS51" si="75">+AO49+AQ49-AP49</f>
        <v>200000</v>
      </c>
      <c r="AT49" s="91"/>
      <c r="AU49" s="91"/>
      <c r="AV49" s="68">
        <f t="shared" si="58"/>
        <v>0</v>
      </c>
      <c r="AW49" s="68">
        <f>+BE49+AU49-AT49</f>
        <v>200000</v>
      </c>
      <c r="AX49" s="91"/>
      <c r="AY49" s="91"/>
      <c r="AZ49" s="68">
        <f t="shared" si="60"/>
        <v>0</v>
      </c>
      <c r="BA49" s="68">
        <f t="shared" si="62"/>
        <v>200000</v>
      </c>
      <c r="BB49" s="152"/>
      <c r="BC49" s="152">
        <f t="shared" si="63"/>
        <v>0</v>
      </c>
      <c r="BD49" s="200"/>
      <c r="BE49" s="200">
        <f>AS49</f>
        <v>200000</v>
      </c>
    </row>
    <row r="50" spans="1:57" x14ac:dyDescent="0.5">
      <c r="A50" s="67">
        <v>40</v>
      </c>
      <c r="B50" s="84" t="s">
        <v>108</v>
      </c>
      <c r="C50" s="67"/>
      <c r="D50" s="170">
        <f>'งบทดลองส่งรายเดือนปี59-60'!CR47+'งบทดลองส่งรายเดือนปี59-60'!CT47-'งบทดลองส่งรายเดือนปี59-60'!CU47</f>
        <v>0</v>
      </c>
      <c r="E50" s="170">
        <f>+'งบทดลองส่งรายเดือนปี59-60'!CS47+'งบทดลองส่งรายเดือนปี59-60'!CU47-'งบทดลองส่งรายเดือนปี59-60'!CT47</f>
        <v>50000</v>
      </c>
      <c r="F50" s="91"/>
      <c r="G50" s="91"/>
      <c r="H50" s="68">
        <f t="shared" si="47"/>
        <v>0</v>
      </c>
      <c r="I50" s="68">
        <f t="shared" si="66"/>
        <v>50000</v>
      </c>
      <c r="J50" s="91"/>
      <c r="K50" s="91"/>
      <c r="L50" s="68">
        <f t="shared" si="48"/>
        <v>0</v>
      </c>
      <c r="M50" s="68">
        <f t="shared" si="67"/>
        <v>50000</v>
      </c>
      <c r="N50" s="91"/>
      <c r="O50" s="91"/>
      <c r="P50" s="68">
        <f t="shared" si="49"/>
        <v>0</v>
      </c>
      <c r="Q50" s="68">
        <f t="shared" si="68"/>
        <v>50000</v>
      </c>
      <c r="R50" s="91"/>
      <c r="S50" s="91"/>
      <c r="T50" s="68">
        <f t="shared" si="50"/>
        <v>0</v>
      </c>
      <c r="U50" s="68">
        <f t="shared" si="69"/>
        <v>50000</v>
      </c>
      <c r="V50" s="91"/>
      <c r="W50" s="91"/>
      <c r="X50" s="68">
        <f t="shared" si="51"/>
        <v>0</v>
      </c>
      <c r="Y50" s="68">
        <f t="shared" si="70"/>
        <v>50000</v>
      </c>
      <c r="Z50" s="91"/>
      <c r="AA50" s="91"/>
      <c r="AB50" s="68">
        <f t="shared" si="52"/>
        <v>0</v>
      </c>
      <c r="AC50" s="68">
        <f t="shared" si="71"/>
        <v>50000</v>
      </c>
      <c r="AD50" s="91"/>
      <c r="AE50" s="91"/>
      <c r="AF50" s="68">
        <f t="shared" si="53"/>
        <v>0</v>
      </c>
      <c r="AG50" s="68">
        <f t="shared" si="72"/>
        <v>50000</v>
      </c>
      <c r="AH50" s="91"/>
      <c r="AI50" s="91"/>
      <c r="AJ50" s="68">
        <f t="shared" si="54"/>
        <v>0</v>
      </c>
      <c r="AK50" s="68">
        <f t="shared" si="73"/>
        <v>50000</v>
      </c>
      <c r="AL50" s="91"/>
      <c r="AM50" s="91"/>
      <c r="AN50" s="68">
        <f t="shared" si="55"/>
        <v>0</v>
      </c>
      <c r="AO50" s="68">
        <f t="shared" si="74"/>
        <v>50000</v>
      </c>
      <c r="AP50" s="91"/>
      <c r="AQ50" s="91"/>
      <c r="AR50" s="68">
        <f t="shared" si="64"/>
        <v>0</v>
      </c>
      <c r="AS50" s="68">
        <f t="shared" si="75"/>
        <v>50000</v>
      </c>
      <c r="AT50" s="91"/>
      <c r="AU50" s="91"/>
      <c r="AV50" s="68">
        <f t="shared" si="58"/>
        <v>0</v>
      </c>
      <c r="AW50" s="68">
        <f>+BE50+AU50-AT50</f>
        <v>50000</v>
      </c>
      <c r="AX50" s="91"/>
      <c r="AY50" s="91"/>
      <c r="AZ50" s="68">
        <f t="shared" si="60"/>
        <v>0</v>
      </c>
      <c r="BA50" s="68">
        <f t="shared" si="62"/>
        <v>50000</v>
      </c>
      <c r="BB50" s="152"/>
      <c r="BC50" s="152">
        <f t="shared" si="63"/>
        <v>0</v>
      </c>
      <c r="BD50" s="200"/>
      <c r="BE50" s="200">
        <f>AS50</f>
        <v>50000</v>
      </c>
    </row>
    <row r="51" spans="1:57" x14ac:dyDescent="0.5">
      <c r="A51" s="67">
        <v>41</v>
      </c>
      <c r="B51" s="81" t="s">
        <v>64</v>
      </c>
      <c r="C51" s="67">
        <v>181</v>
      </c>
      <c r="D51" s="170">
        <f>'งบทดลองส่งรายเดือนปี59-60'!CR48+'งบทดลองส่งรายเดือนปี59-60'!CT48-'งบทดลองส่งรายเดือนปี59-60'!CU48</f>
        <v>0</v>
      </c>
      <c r="E51" s="170">
        <f>+'งบทดลองส่งรายเดือนปี59-60'!CS48+'งบทดลองส่งรายเดือนปี59-60'!CU48-'งบทดลองส่งรายเดือนปี59-60'!CT48</f>
        <v>3528929</v>
      </c>
      <c r="F51" s="91"/>
      <c r="G51" s="91"/>
      <c r="H51" s="68">
        <f t="shared" si="47"/>
        <v>0</v>
      </c>
      <c r="I51" s="68">
        <f t="shared" si="66"/>
        <v>3528929</v>
      </c>
      <c r="J51" s="91"/>
      <c r="K51" s="91"/>
      <c r="L51" s="68">
        <f t="shared" si="48"/>
        <v>0</v>
      </c>
      <c r="M51" s="68">
        <f t="shared" si="67"/>
        <v>3528929</v>
      </c>
      <c r="N51" s="91"/>
      <c r="O51" s="91"/>
      <c r="P51" s="68">
        <f t="shared" si="49"/>
        <v>0</v>
      </c>
      <c r="Q51" s="68">
        <f t="shared" si="68"/>
        <v>3528929</v>
      </c>
      <c r="R51" s="91"/>
      <c r="S51" s="91"/>
      <c r="T51" s="68">
        <f t="shared" si="50"/>
        <v>0</v>
      </c>
      <c r="U51" s="68">
        <f t="shared" si="69"/>
        <v>3528929</v>
      </c>
      <c r="V51" s="91"/>
      <c r="W51" s="91"/>
      <c r="X51" s="68">
        <f t="shared" si="51"/>
        <v>0</v>
      </c>
      <c r="Y51" s="68">
        <f t="shared" si="70"/>
        <v>3528929</v>
      </c>
      <c r="Z51" s="91"/>
      <c r="AA51" s="91"/>
      <c r="AB51" s="68">
        <f t="shared" si="52"/>
        <v>0</v>
      </c>
      <c r="AC51" s="68">
        <f t="shared" si="71"/>
        <v>3528929</v>
      </c>
      <c r="AD51" s="91"/>
      <c r="AE51" s="91"/>
      <c r="AF51" s="68">
        <f t="shared" si="53"/>
        <v>0</v>
      </c>
      <c r="AG51" s="68">
        <f t="shared" si="72"/>
        <v>3528929</v>
      </c>
      <c r="AH51" s="91"/>
      <c r="AI51" s="91"/>
      <c r="AJ51" s="68">
        <f t="shared" si="54"/>
        <v>0</v>
      </c>
      <c r="AK51" s="68">
        <f t="shared" si="73"/>
        <v>3528929</v>
      </c>
      <c r="AL51" s="91"/>
      <c r="AM51" s="91"/>
      <c r="AN51" s="68">
        <f t="shared" si="55"/>
        <v>0</v>
      </c>
      <c r="AO51" s="68">
        <f t="shared" si="74"/>
        <v>3528929</v>
      </c>
      <c r="AP51" s="91"/>
      <c r="AQ51" s="91"/>
      <c r="AR51" s="68">
        <f t="shared" si="64"/>
        <v>0</v>
      </c>
      <c r="AS51" s="68">
        <f t="shared" si="75"/>
        <v>3528929</v>
      </c>
      <c r="AT51" s="91"/>
      <c r="AU51" s="91"/>
      <c r="AV51" s="68">
        <f t="shared" si="58"/>
        <v>0</v>
      </c>
      <c r="AW51" s="68">
        <f>+BE51+AU51-AT51</f>
        <v>3528929</v>
      </c>
      <c r="AX51" s="91"/>
      <c r="AY51" s="91"/>
      <c r="AZ51" s="68">
        <f t="shared" si="60"/>
        <v>0</v>
      </c>
      <c r="BA51" s="68">
        <f t="shared" si="62"/>
        <v>3528929</v>
      </c>
      <c r="BB51" s="152"/>
      <c r="BC51" s="152">
        <f t="shared" si="63"/>
        <v>0</v>
      </c>
      <c r="BD51" s="200"/>
      <c r="BE51" s="200">
        <f>AS51</f>
        <v>3528929</v>
      </c>
    </row>
    <row r="52" spans="1:57" s="180" customFormat="1" ht="24" x14ac:dyDescent="0.55000000000000004">
      <c r="A52" s="181"/>
      <c r="B52" s="186" t="s">
        <v>213</v>
      </c>
      <c r="C52" s="181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52"/>
      <c r="BC52" s="152"/>
      <c r="BD52" s="200"/>
      <c r="BE52" s="200"/>
    </row>
    <row r="53" spans="1:57" x14ac:dyDescent="0.5">
      <c r="A53" s="67">
        <v>42</v>
      </c>
      <c r="B53" s="129" t="s">
        <v>65</v>
      </c>
      <c r="C53" s="130">
        <v>191</v>
      </c>
      <c r="D53" s="170"/>
      <c r="E53" s="170">
        <v>1357355</v>
      </c>
      <c r="F53" s="135">
        <v>3350</v>
      </c>
      <c r="G53" s="135">
        <v>4100</v>
      </c>
      <c r="H53" s="68"/>
      <c r="I53" s="68">
        <f t="shared" si="66"/>
        <v>1358105</v>
      </c>
      <c r="J53" s="135">
        <v>3350</v>
      </c>
      <c r="K53" s="135">
        <v>1150</v>
      </c>
      <c r="L53" s="68"/>
      <c r="M53" s="68">
        <f t="shared" si="67"/>
        <v>1355905</v>
      </c>
      <c r="N53" s="135"/>
      <c r="O53" s="135">
        <v>3900</v>
      </c>
      <c r="P53" s="68"/>
      <c r="Q53" s="68">
        <f t="shared" si="68"/>
        <v>1359805</v>
      </c>
      <c r="R53" s="135"/>
      <c r="S53" s="135"/>
      <c r="T53" s="68"/>
      <c r="U53" s="68">
        <f t="shared" si="69"/>
        <v>1359805</v>
      </c>
      <c r="V53" s="135"/>
      <c r="W53" s="135">
        <v>9200</v>
      </c>
      <c r="X53" s="68"/>
      <c r="Y53" s="68">
        <f t="shared" si="70"/>
        <v>1369005</v>
      </c>
      <c r="Z53" s="135">
        <v>10700</v>
      </c>
      <c r="AA53" s="135">
        <v>2000</v>
      </c>
      <c r="AB53" s="68"/>
      <c r="AC53" s="68">
        <f t="shared" si="71"/>
        <v>1360305</v>
      </c>
      <c r="AD53" s="135"/>
      <c r="AE53" s="135">
        <v>100</v>
      </c>
      <c r="AF53" s="68"/>
      <c r="AG53" s="68">
        <f t="shared" si="72"/>
        <v>1360405</v>
      </c>
      <c r="AH53" s="135">
        <v>2500</v>
      </c>
      <c r="AI53" s="135">
        <v>1500</v>
      </c>
      <c r="AJ53" s="68"/>
      <c r="AK53" s="68">
        <f t="shared" ref="AK53:AK57" si="76">+AG53+AI53-AH53</f>
        <v>1359405</v>
      </c>
      <c r="AL53" s="135"/>
      <c r="AM53" s="135">
        <v>12300</v>
      </c>
      <c r="AN53" s="68"/>
      <c r="AO53" s="68">
        <f t="shared" ref="AO53:AO57" si="77">+AK53+AM53-AL53</f>
        <v>1371705</v>
      </c>
      <c r="AP53" s="135"/>
      <c r="AQ53" s="135">
        <v>7550</v>
      </c>
      <c r="AR53" s="68"/>
      <c r="AS53" s="68">
        <f t="shared" ref="AS53:AS57" si="78">+AO53+AQ53-AP53</f>
        <v>1379255</v>
      </c>
      <c r="AT53" s="135"/>
      <c r="AU53" s="135">
        <v>17800</v>
      </c>
      <c r="AV53" s="68"/>
      <c r="AW53" s="68">
        <f>AS53+AU53-AT53</f>
        <v>1397055</v>
      </c>
      <c r="AX53" s="135"/>
      <c r="AY53" s="135">
        <v>22250</v>
      </c>
      <c r="AZ53" s="68"/>
      <c r="BA53" s="68">
        <f>AW53+AY53-AX53</f>
        <v>1419305</v>
      </c>
      <c r="BB53" s="152">
        <f>+F53+J53+N53+R53+V53+Z53+AD53+AH53+AL53+AP53+AT53</f>
        <v>19900</v>
      </c>
      <c r="BC53" s="152">
        <f>+G53+K53+O53+S53+W53+AA53+AE53+AI53+AM53+AQ53+AU53+AY53</f>
        <v>81850</v>
      </c>
      <c r="BD53" s="200"/>
      <c r="BE53" s="200">
        <f>E53+BC53-BB53</f>
        <v>1419305</v>
      </c>
    </row>
    <row r="54" spans="1:57" x14ac:dyDescent="0.5">
      <c r="A54" s="67">
        <v>43</v>
      </c>
      <c r="B54" s="81" t="s">
        <v>22</v>
      </c>
      <c r="C54" s="67">
        <v>197</v>
      </c>
      <c r="D54" s="170"/>
      <c r="E54" s="170">
        <v>151734.25</v>
      </c>
      <c r="F54" s="91"/>
      <c r="G54" s="91"/>
      <c r="H54" s="68">
        <f>D54+F54-G54</f>
        <v>0</v>
      </c>
      <c r="I54" s="68">
        <f t="shared" si="66"/>
        <v>151734.25</v>
      </c>
      <c r="J54" s="91"/>
      <c r="K54" s="91"/>
      <c r="L54" s="68">
        <f>H54+J54-K54</f>
        <v>0</v>
      </c>
      <c r="M54" s="68">
        <f t="shared" si="67"/>
        <v>151734.25</v>
      </c>
      <c r="N54" s="91"/>
      <c r="O54" s="91"/>
      <c r="P54" s="68">
        <f>L54+N54-O54</f>
        <v>0</v>
      </c>
      <c r="Q54" s="68">
        <f t="shared" si="68"/>
        <v>151734.25</v>
      </c>
      <c r="R54" s="91"/>
      <c r="S54" s="91"/>
      <c r="T54" s="68">
        <f>P54+R54-S54</f>
        <v>0</v>
      </c>
      <c r="U54" s="68">
        <f t="shared" si="69"/>
        <v>151734.25</v>
      </c>
      <c r="V54" s="91"/>
      <c r="W54" s="91"/>
      <c r="X54" s="68">
        <f>T54+V54-W54</f>
        <v>0</v>
      </c>
      <c r="Y54" s="68">
        <f t="shared" si="70"/>
        <v>151734.25</v>
      </c>
      <c r="Z54" s="91"/>
      <c r="AA54" s="91"/>
      <c r="AB54" s="68">
        <f>X54+Z54-AA54</f>
        <v>0</v>
      </c>
      <c r="AC54" s="68">
        <f t="shared" si="71"/>
        <v>151734.25</v>
      </c>
      <c r="AD54" s="91"/>
      <c r="AE54" s="91"/>
      <c r="AF54" s="68">
        <f>AB54+AD54-AE54</f>
        <v>0</v>
      </c>
      <c r="AG54" s="68">
        <f t="shared" si="72"/>
        <v>151734.25</v>
      </c>
      <c r="AH54" s="91"/>
      <c r="AI54" s="91"/>
      <c r="AJ54" s="68">
        <f>AF54+AH54-AI54</f>
        <v>0</v>
      </c>
      <c r="AK54" s="68">
        <f t="shared" si="76"/>
        <v>151734.25</v>
      </c>
      <c r="AL54" s="91"/>
      <c r="AM54" s="91"/>
      <c r="AN54" s="68">
        <f>AJ54+AL54-AM54</f>
        <v>0</v>
      </c>
      <c r="AO54" s="68">
        <f t="shared" si="77"/>
        <v>151734.25</v>
      </c>
      <c r="AP54" s="91"/>
      <c r="AQ54" s="91"/>
      <c r="AR54" s="68">
        <f>AN54+AP54-AQ54</f>
        <v>0</v>
      </c>
      <c r="AS54" s="68">
        <f t="shared" si="78"/>
        <v>151734.25</v>
      </c>
      <c r="AT54" s="91"/>
      <c r="AU54" s="91"/>
      <c r="AV54" s="68">
        <f>BD54+AT54-AU54</f>
        <v>0</v>
      </c>
      <c r="AW54" s="68">
        <f>+BE54+AU54-AT54</f>
        <v>151734.25</v>
      </c>
      <c r="AX54" s="91"/>
      <c r="AY54" s="91"/>
      <c r="AZ54" s="68">
        <f>BH54+AX54-AY54</f>
        <v>0</v>
      </c>
      <c r="BA54" s="68">
        <f>AW54+AY54-AX54</f>
        <v>151734.25</v>
      </c>
      <c r="BB54" s="152"/>
      <c r="BC54" s="152">
        <f t="shared" si="63"/>
        <v>0</v>
      </c>
      <c r="BD54" s="200"/>
      <c r="BE54" s="200">
        <f>AS54</f>
        <v>151734.25</v>
      </c>
    </row>
    <row r="55" spans="1:57" x14ac:dyDescent="0.5">
      <c r="A55" s="67">
        <v>44</v>
      </c>
      <c r="B55" s="81" t="s">
        <v>4</v>
      </c>
      <c r="C55" s="67">
        <v>201</v>
      </c>
      <c r="D55" s="170"/>
      <c r="E55" s="170">
        <f>+'งบทดลองส่งรายเดือนปี59-60'!CS51+'งบทดลองส่งรายเดือนปี59-60'!CU51-'งบทดลองส่งรายเดือนปี59-60'!CT51</f>
        <v>59285</v>
      </c>
      <c r="F55" s="91"/>
      <c r="G55" s="91"/>
      <c r="H55" s="68">
        <f>D55+F55-G55</f>
        <v>0</v>
      </c>
      <c r="I55" s="68">
        <f t="shared" si="66"/>
        <v>59285</v>
      </c>
      <c r="J55" s="91"/>
      <c r="K55" s="91"/>
      <c r="L55" s="68">
        <f>H55+J55-K55</f>
        <v>0</v>
      </c>
      <c r="M55" s="68">
        <f t="shared" si="67"/>
        <v>59285</v>
      </c>
      <c r="N55" s="91"/>
      <c r="O55" s="91"/>
      <c r="P55" s="68">
        <f>L55+N55-O55</f>
        <v>0</v>
      </c>
      <c r="Q55" s="68">
        <f t="shared" si="68"/>
        <v>59285</v>
      </c>
      <c r="R55" s="91"/>
      <c r="S55" s="91"/>
      <c r="T55" s="68">
        <f>P55+R55-S55</f>
        <v>0</v>
      </c>
      <c r="U55" s="68">
        <f t="shared" si="69"/>
        <v>59285</v>
      </c>
      <c r="V55" s="91"/>
      <c r="W55" s="91"/>
      <c r="X55" s="68">
        <f>T55+V55-W55</f>
        <v>0</v>
      </c>
      <c r="Y55" s="68">
        <f t="shared" si="70"/>
        <v>59285</v>
      </c>
      <c r="Z55" s="91"/>
      <c r="AA55" s="91"/>
      <c r="AB55" s="68">
        <f>X55+Z55-AA55</f>
        <v>0</v>
      </c>
      <c r="AC55" s="68">
        <f t="shared" si="71"/>
        <v>59285</v>
      </c>
      <c r="AD55" s="91"/>
      <c r="AE55" s="91"/>
      <c r="AF55" s="68">
        <f>AB55+AD55-AE55</f>
        <v>0</v>
      </c>
      <c r="AG55" s="68">
        <f t="shared" si="72"/>
        <v>59285</v>
      </c>
      <c r="AH55" s="91"/>
      <c r="AI55" s="91"/>
      <c r="AJ55" s="68">
        <f>AF55+AH55-AI55</f>
        <v>0</v>
      </c>
      <c r="AK55" s="68">
        <f t="shared" si="76"/>
        <v>59285</v>
      </c>
      <c r="AL55" s="91"/>
      <c r="AM55" s="91"/>
      <c r="AN55" s="68">
        <f>AJ55+AL55-AM55</f>
        <v>0</v>
      </c>
      <c r="AO55" s="68">
        <f t="shared" si="77"/>
        <v>59285</v>
      </c>
      <c r="AP55" s="91"/>
      <c r="AQ55" s="91"/>
      <c r="AR55" s="68">
        <f>AN55+AP55-AQ55</f>
        <v>0</v>
      </c>
      <c r="AS55" s="68">
        <f t="shared" si="78"/>
        <v>59285</v>
      </c>
      <c r="AT55" s="91"/>
      <c r="AU55" s="91"/>
      <c r="AV55" s="68">
        <f>BD55+AT55-AU55</f>
        <v>0</v>
      </c>
      <c r="AW55" s="68">
        <f>+BE55+AU55-AT55</f>
        <v>59285</v>
      </c>
      <c r="AX55" s="91"/>
      <c r="AY55" s="91"/>
      <c r="AZ55" s="68">
        <f>BH55+AX55-AY55</f>
        <v>0</v>
      </c>
      <c r="BA55" s="68">
        <f t="shared" ref="BA55:BA57" si="79">AW55+AY55-AX55</f>
        <v>59285</v>
      </c>
      <c r="BB55" s="152"/>
      <c r="BC55" s="152">
        <f t="shared" si="63"/>
        <v>0</v>
      </c>
      <c r="BD55" s="200"/>
      <c r="BE55" s="200">
        <f>AS55</f>
        <v>59285</v>
      </c>
    </row>
    <row r="56" spans="1:57" x14ac:dyDescent="0.5">
      <c r="A56" s="67">
        <v>45</v>
      </c>
      <c r="B56" s="81" t="s">
        <v>3</v>
      </c>
      <c r="C56" s="67">
        <v>205</v>
      </c>
      <c r="D56" s="170"/>
      <c r="E56" s="170">
        <f>+'งบทดลองส่งรายเดือนปี59-60'!CS52+'งบทดลองส่งรายเดือนปี59-60'!CU52-'งบทดลองส่งรายเดือนปี59-60'!CT52</f>
        <v>49650</v>
      </c>
      <c r="F56" s="91"/>
      <c r="G56" s="117"/>
      <c r="H56" s="68">
        <f>D56+F56-G56</f>
        <v>0</v>
      </c>
      <c r="I56" s="68">
        <f t="shared" si="66"/>
        <v>49650</v>
      </c>
      <c r="J56" s="91"/>
      <c r="K56" s="117"/>
      <c r="L56" s="68">
        <f>H56+J56-K56</f>
        <v>0</v>
      </c>
      <c r="M56" s="68">
        <f t="shared" si="67"/>
        <v>49650</v>
      </c>
      <c r="N56" s="91"/>
      <c r="O56" s="117"/>
      <c r="P56" s="68">
        <f>L56+N56-O56</f>
        <v>0</v>
      </c>
      <c r="Q56" s="68">
        <f t="shared" si="68"/>
        <v>49650</v>
      </c>
      <c r="R56" s="91"/>
      <c r="S56" s="117"/>
      <c r="T56" s="68">
        <f>P56+R56-S56</f>
        <v>0</v>
      </c>
      <c r="U56" s="68">
        <f t="shared" si="69"/>
        <v>49650</v>
      </c>
      <c r="V56" s="91"/>
      <c r="W56" s="117"/>
      <c r="X56" s="68">
        <f>T56+V56-W56</f>
        <v>0</v>
      </c>
      <c r="Y56" s="68">
        <f t="shared" si="70"/>
        <v>49650</v>
      </c>
      <c r="Z56" s="91"/>
      <c r="AA56" s="117"/>
      <c r="AB56" s="68">
        <f>X56+Z56-AA56</f>
        <v>0</v>
      </c>
      <c r="AC56" s="68">
        <f t="shared" si="71"/>
        <v>49650</v>
      </c>
      <c r="AD56" s="91"/>
      <c r="AE56" s="117"/>
      <c r="AF56" s="68">
        <f>AB56+AD56-AE56</f>
        <v>0</v>
      </c>
      <c r="AG56" s="68">
        <f t="shared" si="72"/>
        <v>49650</v>
      </c>
      <c r="AH56" s="91"/>
      <c r="AI56" s="117"/>
      <c r="AJ56" s="68">
        <f>AF56+AH56-AI56</f>
        <v>0</v>
      </c>
      <c r="AK56" s="68">
        <f t="shared" si="76"/>
        <v>49650</v>
      </c>
      <c r="AL56" s="91"/>
      <c r="AM56" s="117"/>
      <c r="AN56" s="68">
        <f>AJ56+AL56-AM56</f>
        <v>0</v>
      </c>
      <c r="AO56" s="68">
        <f t="shared" si="77"/>
        <v>49650</v>
      </c>
      <c r="AP56" s="91"/>
      <c r="AQ56" s="117"/>
      <c r="AR56" s="68">
        <f>AN56+AP56-AQ56</f>
        <v>0</v>
      </c>
      <c r="AS56" s="68">
        <f t="shared" si="78"/>
        <v>49650</v>
      </c>
      <c r="AT56" s="91"/>
      <c r="AU56" s="117"/>
      <c r="AV56" s="68">
        <f>BD56+AT56-AU56</f>
        <v>0</v>
      </c>
      <c r="AW56" s="68">
        <f>+BE56+AU56-AT56</f>
        <v>49650</v>
      </c>
      <c r="AX56" s="91"/>
      <c r="AY56" s="117"/>
      <c r="AZ56" s="68">
        <f>BH56+AX56-AY56</f>
        <v>0</v>
      </c>
      <c r="BA56" s="68">
        <f t="shared" si="79"/>
        <v>49650</v>
      </c>
      <c r="BB56" s="152"/>
      <c r="BC56" s="152">
        <f t="shared" si="63"/>
        <v>0</v>
      </c>
      <c r="BD56" s="200"/>
      <c r="BE56" s="200">
        <f>AS56</f>
        <v>49650</v>
      </c>
    </row>
    <row r="57" spans="1:57" x14ac:dyDescent="0.5">
      <c r="A57" s="67">
        <v>46</v>
      </c>
      <c r="B57" s="81" t="s">
        <v>66</v>
      </c>
      <c r="C57" s="67">
        <v>209</v>
      </c>
      <c r="D57" s="170"/>
      <c r="E57" s="170">
        <f>+'งบทดลองส่งรายเดือนปี59-60'!CS53+'งบทดลองส่งรายเดือนปี59-60'!CU53-'งบทดลองส่งรายเดือนปี59-60'!CT53</f>
        <v>10172</v>
      </c>
      <c r="F57" s="91"/>
      <c r="G57" s="117"/>
      <c r="H57" s="68">
        <f>D57+F57-G57</f>
        <v>0</v>
      </c>
      <c r="I57" s="68">
        <f t="shared" si="66"/>
        <v>10172</v>
      </c>
      <c r="J57" s="91"/>
      <c r="K57" s="117"/>
      <c r="L57" s="68">
        <f>H57+J57-K57</f>
        <v>0</v>
      </c>
      <c r="M57" s="68">
        <f t="shared" si="67"/>
        <v>10172</v>
      </c>
      <c r="N57" s="91"/>
      <c r="O57" s="117"/>
      <c r="P57" s="68">
        <f>L57+N57-O57</f>
        <v>0</v>
      </c>
      <c r="Q57" s="68">
        <f t="shared" si="68"/>
        <v>10172</v>
      </c>
      <c r="R57" s="91"/>
      <c r="S57" s="117"/>
      <c r="T57" s="68">
        <f>P57+R57-S57</f>
        <v>0</v>
      </c>
      <c r="U57" s="68">
        <f t="shared" si="69"/>
        <v>10172</v>
      </c>
      <c r="V57" s="91">
        <v>200</v>
      </c>
      <c r="W57" s="117"/>
      <c r="X57" s="68">
        <v>0</v>
      </c>
      <c r="Y57" s="68">
        <f t="shared" si="70"/>
        <v>9972</v>
      </c>
      <c r="Z57" s="91"/>
      <c r="AA57" s="117"/>
      <c r="AB57" s="68">
        <v>0</v>
      </c>
      <c r="AC57" s="68">
        <f t="shared" si="71"/>
        <v>9972</v>
      </c>
      <c r="AD57" s="91"/>
      <c r="AE57" s="117"/>
      <c r="AF57" s="68">
        <v>0</v>
      </c>
      <c r="AG57" s="68">
        <f t="shared" si="72"/>
        <v>9972</v>
      </c>
      <c r="AH57" s="91"/>
      <c r="AI57" s="117"/>
      <c r="AJ57" s="68">
        <v>0</v>
      </c>
      <c r="AK57" s="68">
        <f t="shared" si="76"/>
        <v>9972</v>
      </c>
      <c r="AL57" s="91"/>
      <c r="AM57" s="117"/>
      <c r="AN57" s="68">
        <v>0</v>
      </c>
      <c r="AO57" s="68">
        <f t="shared" si="77"/>
        <v>9972</v>
      </c>
      <c r="AP57" s="91"/>
      <c r="AQ57" s="117"/>
      <c r="AR57" s="68">
        <v>0</v>
      </c>
      <c r="AS57" s="68">
        <f t="shared" si="78"/>
        <v>9972</v>
      </c>
      <c r="AT57" s="91"/>
      <c r="AU57" s="117"/>
      <c r="AV57" s="68">
        <v>0</v>
      </c>
      <c r="AW57" s="68">
        <f>+BE57+AU57-AT57</f>
        <v>9972</v>
      </c>
      <c r="AX57" s="91"/>
      <c r="AY57" s="117"/>
      <c r="AZ57" s="68">
        <v>0</v>
      </c>
      <c r="BA57" s="68">
        <f t="shared" si="79"/>
        <v>9972</v>
      </c>
      <c r="BB57" s="152">
        <f t="shared" si="34"/>
        <v>200</v>
      </c>
      <c r="BC57" s="152">
        <f t="shared" si="63"/>
        <v>0</v>
      </c>
      <c r="BD57" s="200">
        <v>0</v>
      </c>
      <c r="BE57" s="200">
        <f>E57+BC57-BB57</f>
        <v>9972</v>
      </c>
    </row>
    <row r="58" spans="1:57" s="190" customFormat="1" ht="24" x14ac:dyDescent="0.55000000000000004">
      <c r="A58" s="187"/>
      <c r="B58" s="186" t="s">
        <v>214</v>
      </c>
      <c r="C58" s="187"/>
      <c r="D58" s="188"/>
      <c r="E58" s="188"/>
      <c r="F58" s="188"/>
      <c r="G58" s="189"/>
      <c r="H58" s="188"/>
      <c r="I58" s="188"/>
      <c r="J58" s="188"/>
      <c r="K58" s="189"/>
      <c r="L58" s="188"/>
      <c r="M58" s="188"/>
      <c r="N58" s="188"/>
      <c r="O58" s="189"/>
      <c r="P58" s="188"/>
      <c r="Q58" s="188"/>
      <c r="R58" s="188"/>
      <c r="S58" s="189"/>
      <c r="T58" s="188"/>
      <c r="U58" s="188"/>
      <c r="V58" s="188"/>
      <c r="W58" s="189"/>
      <c r="X58" s="188"/>
      <c r="Y58" s="188"/>
      <c r="Z58" s="188"/>
      <c r="AA58" s="189"/>
      <c r="AB58" s="188"/>
      <c r="AC58" s="188"/>
      <c r="AD58" s="188"/>
      <c r="AE58" s="189"/>
      <c r="AF58" s="188"/>
      <c r="AG58" s="188"/>
      <c r="AH58" s="188"/>
      <c r="AI58" s="189"/>
      <c r="AJ58" s="188"/>
      <c r="AK58" s="188"/>
      <c r="AL58" s="188"/>
      <c r="AM58" s="189"/>
      <c r="AN58" s="188"/>
      <c r="AO58" s="188"/>
      <c r="AP58" s="188"/>
      <c r="AQ58" s="189"/>
      <c r="AR58" s="188"/>
      <c r="AS58" s="188"/>
      <c r="AT58" s="188"/>
      <c r="AU58" s="189"/>
      <c r="AV58" s="188"/>
      <c r="AW58" s="188"/>
      <c r="AX58" s="188"/>
      <c r="AY58" s="189"/>
      <c r="AZ58" s="188"/>
      <c r="BA58" s="188"/>
      <c r="BB58" s="152"/>
      <c r="BC58" s="152"/>
      <c r="BD58" s="201"/>
      <c r="BE58" s="201"/>
    </row>
    <row r="59" spans="1:57" x14ac:dyDescent="0.5">
      <c r="A59" s="67">
        <v>47</v>
      </c>
      <c r="B59" s="81" t="s">
        <v>235</v>
      </c>
      <c r="C59" s="67">
        <v>223</v>
      </c>
      <c r="D59" s="170"/>
      <c r="E59" s="170"/>
      <c r="F59" s="91"/>
      <c r="G59" s="91">
        <v>805.92</v>
      </c>
      <c r="H59" s="68"/>
      <c r="I59" s="68">
        <f t="shared" si="66"/>
        <v>805.92</v>
      </c>
      <c r="J59" s="91"/>
      <c r="K59" s="91">
        <v>593.95000000000005</v>
      </c>
      <c r="L59" s="68"/>
      <c r="M59" s="68">
        <f t="shared" si="67"/>
        <v>1399.87</v>
      </c>
      <c r="N59" s="91"/>
      <c r="O59" s="91">
        <v>1416.31</v>
      </c>
      <c r="P59" s="68"/>
      <c r="Q59" s="68">
        <f t="shared" si="68"/>
        <v>2816.18</v>
      </c>
      <c r="R59" s="91"/>
      <c r="S59" s="91">
        <v>437.26</v>
      </c>
      <c r="T59" s="68"/>
      <c r="U59" s="68">
        <f t="shared" si="69"/>
        <v>3253.4399999999996</v>
      </c>
      <c r="V59" s="91"/>
      <c r="W59" s="91">
        <v>4759.43</v>
      </c>
      <c r="X59" s="68"/>
      <c r="Y59" s="68">
        <f t="shared" si="70"/>
        <v>8012.87</v>
      </c>
      <c r="Z59" s="91"/>
      <c r="AA59" s="91">
        <v>1958.08</v>
      </c>
      <c r="AB59" s="68"/>
      <c r="AC59" s="68">
        <f t="shared" si="71"/>
        <v>9970.9500000000007</v>
      </c>
      <c r="AD59" s="91"/>
      <c r="AE59" s="91"/>
      <c r="AF59" s="68"/>
      <c r="AG59" s="68">
        <f t="shared" si="72"/>
        <v>9970.9500000000007</v>
      </c>
      <c r="AH59" s="91"/>
      <c r="AI59" s="91">
        <v>3009.35</v>
      </c>
      <c r="AJ59" s="68"/>
      <c r="AK59" s="68">
        <f t="shared" ref="AK59" si="80">+AG59+AI59-AH59</f>
        <v>12980.300000000001</v>
      </c>
      <c r="AL59" s="91"/>
      <c r="AM59" s="91">
        <v>12168.11</v>
      </c>
      <c r="AN59" s="68"/>
      <c r="AO59" s="68">
        <f t="shared" ref="AO59" si="81">+AK59+AM59-AL59</f>
        <v>25148.410000000003</v>
      </c>
      <c r="AP59" s="91"/>
      <c r="AQ59" s="91">
        <v>8343.41</v>
      </c>
      <c r="AR59" s="68"/>
      <c r="AS59" s="68">
        <f t="shared" ref="AS59" si="82">+AO59+AQ59-AP59</f>
        <v>33491.820000000007</v>
      </c>
      <c r="AT59" s="91"/>
      <c r="AU59" s="91">
        <v>21085.52</v>
      </c>
      <c r="AV59" s="68"/>
      <c r="AW59" s="68">
        <f>AS59+AU59-AT59</f>
        <v>54577.340000000011</v>
      </c>
      <c r="AX59" s="91"/>
      <c r="AY59" s="91">
        <v>41004.769999999997</v>
      </c>
      <c r="AZ59" s="68"/>
      <c r="BA59" s="68">
        <f>AW59+AY59-AX59</f>
        <v>95582.110000000015</v>
      </c>
      <c r="BB59" s="152">
        <f t="shared" si="34"/>
        <v>0</v>
      </c>
      <c r="BC59" s="152">
        <f>+G59+K59+O59+S59+W59+AA59+AE59+AI59+AM59+AQ59+AU59+AY59</f>
        <v>95582.110000000015</v>
      </c>
      <c r="BD59" s="200"/>
      <c r="BE59" s="200">
        <f>E59+BC59-BB59</f>
        <v>95582.110000000015</v>
      </c>
    </row>
    <row r="60" spans="1:57" s="182" customFormat="1" x14ac:dyDescent="0.5">
      <c r="A60" s="67">
        <v>48</v>
      </c>
      <c r="B60" s="81" t="s">
        <v>215</v>
      </c>
      <c r="C60" s="67"/>
      <c r="D60" s="170"/>
      <c r="E60" s="170"/>
      <c r="F60" s="91"/>
      <c r="G60" s="91"/>
      <c r="H60" s="68"/>
      <c r="I60" s="68"/>
      <c r="J60" s="91"/>
      <c r="K60" s="91"/>
      <c r="L60" s="68"/>
      <c r="M60" s="68"/>
      <c r="N60" s="91"/>
      <c r="O60" s="91"/>
      <c r="P60" s="68"/>
      <c r="Q60" s="68"/>
      <c r="R60" s="91"/>
      <c r="S60" s="91"/>
      <c r="T60" s="68"/>
      <c r="U60" s="68"/>
      <c r="V60" s="91"/>
      <c r="W60" s="91"/>
      <c r="X60" s="68"/>
      <c r="Y60" s="68"/>
      <c r="Z60" s="91"/>
      <c r="AA60" s="91"/>
      <c r="AB60" s="68"/>
      <c r="AC60" s="68"/>
      <c r="AD60" s="91"/>
      <c r="AE60" s="91"/>
      <c r="AF60" s="68"/>
      <c r="AG60" s="68"/>
      <c r="AH60" s="91"/>
      <c r="AI60" s="91"/>
      <c r="AJ60" s="68"/>
      <c r="AK60" s="68"/>
      <c r="AL60" s="91"/>
      <c r="AM60" s="91"/>
      <c r="AN60" s="68"/>
      <c r="AO60" s="68"/>
      <c r="AP60" s="91"/>
      <c r="AQ60" s="91"/>
      <c r="AR60" s="68"/>
      <c r="AS60" s="68"/>
      <c r="AT60" s="91"/>
      <c r="AU60" s="91"/>
      <c r="AV60" s="68"/>
      <c r="AW60" s="68"/>
      <c r="AX60" s="91"/>
      <c r="AY60" s="91"/>
      <c r="AZ60" s="68"/>
      <c r="BA60" s="68"/>
      <c r="BB60" s="152">
        <f t="shared" si="34"/>
        <v>0</v>
      </c>
      <c r="BC60" s="152">
        <f t="shared" si="63"/>
        <v>0</v>
      </c>
      <c r="BD60" s="200"/>
      <c r="BE60" s="200">
        <f t="shared" ref="BE60:BE65" si="83">E60+BC60-BB60</f>
        <v>0</v>
      </c>
    </row>
    <row r="61" spans="1:57" x14ac:dyDescent="0.5">
      <c r="A61" s="67">
        <v>49</v>
      </c>
      <c r="B61" s="81" t="s">
        <v>236</v>
      </c>
      <c r="C61" s="67">
        <v>243</v>
      </c>
      <c r="D61" s="170"/>
      <c r="E61" s="170"/>
      <c r="F61" s="91"/>
      <c r="G61" s="91">
        <v>63.12</v>
      </c>
      <c r="H61" s="68"/>
      <c r="I61" s="68">
        <f t="shared" si="66"/>
        <v>63.12</v>
      </c>
      <c r="J61" s="91"/>
      <c r="K61" s="91">
        <v>96.41</v>
      </c>
      <c r="L61" s="68"/>
      <c r="M61" s="68">
        <f t="shared" si="67"/>
        <v>159.53</v>
      </c>
      <c r="N61" s="91"/>
      <c r="O61" s="91">
        <v>184.93</v>
      </c>
      <c r="P61" s="68"/>
      <c r="Q61" s="68">
        <f t="shared" si="68"/>
        <v>344.46000000000004</v>
      </c>
      <c r="R61" s="91"/>
      <c r="S61" s="91">
        <v>187.4</v>
      </c>
      <c r="T61" s="68"/>
      <c r="U61" s="68">
        <f t="shared" si="69"/>
        <v>531.86</v>
      </c>
      <c r="V61" s="91"/>
      <c r="W61" s="91">
        <v>345.94</v>
      </c>
      <c r="X61" s="68"/>
      <c r="Y61" s="68">
        <f t="shared" si="70"/>
        <v>877.8</v>
      </c>
      <c r="Z61" s="91"/>
      <c r="AA61" s="91">
        <v>253.97</v>
      </c>
      <c r="AB61" s="68"/>
      <c r="AC61" s="68">
        <f t="shared" si="71"/>
        <v>1131.77</v>
      </c>
      <c r="AD61" s="91"/>
      <c r="AE61" s="91"/>
      <c r="AF61" s="68"/>
      <c r="AG61" s="68">
        <f t="shared" si="72"/>
        <v>1131.77</v>
      </c>
      <c r="AH61" s="91"/>
      <c r="AI61" s="91">
        <v>850.82</v>
      </c>
      <c r="AJ61" s="68"/>
      <c r="AK61" s="68">
        <f t="shared" ref="AK61" si="84">+AG61+AI61-AH61</f>
        <v>1982.5900000000001</v>
      </c>
      <c r="AL61" s="91"/>
      <c r="AM61" s="91">
        <v>339.13</v>
      </c>
      <c r="AN61" s="68"/>
      <c r="AO61" s="68">
        <f t="shared" ref="AO61" si="85">+AK61+AM61-AL61</f>
        <v>2321.7200000000003</v>
      </c>
      <c r="AP61" s="91"/>
      <c r="AQ61" s="91">
        <v>403.24</v>
      </c>
      <c r="AR61" s="68"/>
      <c r="AS61" s="68">
        <f t="shared" ref="AS61" si="86">+AO61+AQ61-AP61</f>
        <v>2724.96</v>
      </c>
      <c r="AT61" s="91"/>
      <c r="AU61" s="91">
        <v>250.35</v>
      </c>
      <c r="AV61" s="68"/>
      <c r="AW61" s="68">
        <f>AS61+AU61-AT61</f>
        <v>2975.31</v>
      </c>
      <c r="AX61" s="91"/>
      <c r="AY61" s="91">
        <v>1192.1099999999999</v>
      </c>
      <c r="AZ61" s="68"/>
      <c r="BA61" s="68">
        <f>AW61+AY61-AX61</f>
        <v>4167.42</v>
      </c>
      <c r="BB61" s="152">
        <f t="shared" si="34"/>
        <v>0</v>
      </c>
      <c r="BC61" s="152">
        <f>+G61+K61+O61+S61+W61+AA61+AE61+AI61+AM61+AQ61+AU61+AY61</f>
        <v>4167.42</v>
      </c>
      <c r="BD61" s="200"/>
      <c r="BE61" s="200">
        <f t="shared" si="83"/>
        <v>4167.42</v>
      </c>
    </row>
    <row r="62" spans="1:57" s="182" customFormat="1" x14ac:dyDescent="0.5">
      <c r="A62" s="67">
        <v>50</v>
      </c>
      <c r="B62" s="81" t="s">
        <v>216</v>
      </c>
      <c r="C62" s="67"/>
      <c r="D62" s="170"/>
      <c r="E62" s="170">
        <v>0</v>
      </c>
      <c r="F62" s="91"/>
      <c r="G62" s="91"/>
      <c r="H62" s="68"/>
      <c r="I62" s="68"/>
      <c r="J62" s="91"/>
      <c r="K62" s="91"/>
      <c r="L62" s="68"/>
      <c r="M62" s="68"/>
      <c r="N62" s="91"/>
      <c r="O62" s="91"/>
      <c r="P62" s="68"/>
      <c r="Q62" s="68"/>
      <c r="R62" s="91"/>
      <c r="S62" s="91"/>
      <c r="T62" s="68"/>
      <c r="U62" s="68"/>
      <c r="V62" s="91"/>
      <c r="W62" s="91"/>
      <c r="X62" s="68"/>
      <c r="Y62" s="68"/>
      <c r="Z62" s="91"/>
      <c r="AA62" s="91"/>
      <c r="AB62" s="68"/>
      <c r="AC62" s="68"/>
      <c r="AD62" s="91"/>
      <c r="AE62" s="91"/>
      <c r="AF62" s="68"/>
      <c r="AG62" s="68"/>
      <c r="AH62" s="91"/>
      <c r="AI62" s="91"/>
      <c r="AJ62" s="68"/>
      <c r="AK62" s="68"/>
      <c r="AL62" s="91"/>
      <c r="AM62" s="91"/>
      <c r="AN62" s="68"/>
      <c r="AO62" s="68"/>
      <c r="AP62" s="91"/>
      <c r="AQ62" s="91"/>
      <c r="AR62" s="68"/>
      <c r="AS62" s="68"/>
      <c r="AT62" s="91"/>
      <c r="AU62" s="91"/>
      <c r="AV62" s="68"/>
      <c r="AW62" s="68"/>
      <c r="AX62" s="91"/>
      <c r="AY62" s="91"/>
      <c r="AZ62" s="68"/>
      <c r="BA62" s="68"/>
      <c r="BB62" s="152">
        <f t="shared" si="34"/>
        <v>0</v>
      </c>
      <c r="BC62" s="152">
        <f t="shared" si="63"/>
        <v>0</v>
      </c>
      <c r="BD62" s="200"/>
      <c r="BE62" s="200">
        <f t="shared" si="83"/>
        <v>0</v>
      </c>
    </row>
    <row r="63" spans="1:57" x14ac:dyDescent="0.5">
      <c r="A63" s="67">
        <v>51</v>
      </c>
      <c r="B63" s="81" t="s">
        <v>12</v>
      </c>
      <c r="C63" s="67">
        <v>252</v>
      </c>
      <c r="D63" s="170"/>
      <c r="E63" s="170"/>
      <c r="F63" s="91"/>
      <c r="G63" s="91"/>
      <c r="H63" s="68"/>
      <c r="I63" s="68">
        <f t="shared" si="66"/>
        <v>0</v>
      </c>
      <c r="J63" s="91"/>
      <c r="K63" s="91"/>
      <c r="L63" s="68"/>
      <c r="M63" s="68">
        <f t="shared" si="67"/>
        <v>0</v>
      </c>
      <c r="N63" s="91"/>
      <c r="O63" s="91"/>
      <c r="P63" s="68"/>
      <c r="Q63" s="68">
        <f t="shared" si="68"/>
        <v>0</v>
      </c>
      <c r="R63" s="91"/>
      <c r="S63" s="91"/>
      <c r="T63" s="68"/>
      <c r="U63" s="68">
        <f t="shared" si="69"/>
        <v>0</v>
      </c>
      <c r="V63" s="91"/>
      <c r="W63" s="91"/>
      <c r="X63" s="68"/>
      <c r="Y63" s="68">
        <f t="shared" si="70"/>
        <v>0</v>
      </c>
      <c r="Z63" s="91"/>
      <c r="AA63" s="91"/>
      <c r="AB63" s="68"/>
      <c r="AC63" s="68">
        <f t="shared" si="71"/>
        <v>0</v>
      </c>
      <c r="AD63" s="91"/>
      <c r="AE63" s="91"/>
      <c r="AF63" s="68"/>
      <c r="AG63" s="68">
        <f t="shared" si="72"/>
        <v>0</v>
      </c>
      <c r="AH63" s="91"/>
      <c r="AI63" s="91"/>
      <c r="AJ63" s="68"/>
      <c r="AK63" s="68">
        <f t="shared" ref="AK63:AK64" si="87">+AG63+AI63-AH63</f>
        <v>0</v>
      </c>
      <c r="AL63" s="91"/>
      <c r="AM63" s="91">
        <v>7690</v>
      </c>
      <c r="AN63" s="68"/>
      <c r="AO63" s="68">
        <f t="shared" ref="AO63:AO64" si="88">+AK63+AM63-AL63</f>
        <v>7690</v>
      </c>
      <c r="AP63" s="91"/>
      <c r="AQ63" s="91">
        <v>3500</v>
      </c>
      <c r="AR63" s="68"/>
      <c r="AS63" s="68">
        <f t="shared" ref="AS63:AS64" si="89">+AO63+AQ63-AP63</f>
        <v>11190</v>
      </c>
      <c r="AT63" s="91"/>
      <c r="AU63" s="91"/>
      <c r="AV63" s="68"/>
      <c r="AW63" s="68">
        <f>+BE63+AU63-AT63</f>
        <v>11190</v>
      </c>
      <c r="AX63" s="91"/>
      <c r="AY63" s="91"/>
      <c r="AZ63" s="68"/>
      <c r="BA63" s="68">
        <f>AW63+AY63-AX63</f>
        <v>11190</v>
      </c>
      <c r="BB63" s="152">
        <f t="shared" si="34"/>
        <v>0</v>
      </c>
      <c r="BC63" s="152">
        <f>+G63+K63+O63+S63+W63+AA63+AE63+AI63+AM63+AQ63+AU63+AY63</f>
        <v>11190</v>
      </c>
      <c r="BD63" s="200"/>
      <c r="BE63" s="200">
        <f t="shared" si="83"/>
        <v>11190</v>
      </c>
    </row>
    <row r="64" spans="1:57" x14ac:dyDescent="0.5">
      <c r="A64" s="67">
        <v>52</v>
      </c>
      <c r="B64" s="81" t="s">
        <v>164</v>
      </c>
      <c r="C64" s="67"/>
      <c r="D64" s="170"/>
      <c r="E64" s="170"/>
      <c r="F64" s="91"/>
      <c r="G64" s="91"/>
      <c r="H64" s="68"/>
      <c r="I64" s="68">
        <f t="shared" si="66"/>
        <v>0</v>
      </c>
      <c r="J64" s="91"/>
      <c r="K64" s="91"/>
      <c r="L64" s="68"/>
      <c r="M64" s="68">
        <f t="shared" si="67"/>
        <v>0</v>
      </c>
      <c r="N64" s="91"/>
      <c r="O64" s="91">
        <v>230</v>
      </c>
      <c r="P64" s="68"/>
      <c r="Q64" s="68">
        <f t="shared" si="68"/>
        <v>230</v>
      </c>
      <c r="R64" s="91"/>
      <c r="S64" s="91"/>
      <c r="T64" s="68"/>
      <c r="U64" s="68">
        <f t="shared" si="69"/>
        <v>230</v>
      </c>
      <c r="V64" s="91"/>
      <c r="W64" s="91">
        <v>390</v>
      </c>
      <c r="X64" s="68"/>
      <c r="Y64" s="68">
        <f t="shared" si="70"/>
        <v>620</v>
      </c>
      <c r="Z64" s="91"/>
      <c r="AA64" s="91">
        <v>790</v>
      </c>
      <c r="AB64" s="68"/>
      <c r="AC64" s="68">
        <f t="shared" si="71"/>
        <v>1410</v>
      </c>
      <c r="AD64" s="91"/>
      <c r="AE64" s="91"/>
      <c r="AF64" s="68"/>
      <c r="AG64" s="68">
        <f t="shared" si="72"/>
        <v>1410</v>
      </c>
      <c r="AH64" s="91"/>
      <c r="AI64" s="91">
        <v>4100</v>
      </c>
      <c r="AJ64" s="68"/>
      <c r="AK64" s="68">
        <f t="shared" si="87"/>
        <v>5510</v>
      </c>
      <c r="AL64" s="91"/>
      <c r="AM64" s="91"/>
      <c r="AN64" s="68"/>
      <c r="AO64" s="68">
        <f t="shared" si="88"/>
        <v>5510</v>
      </c>
      <c r="AP64" s="91"/>
      <c r="AQ64" s="91">
        <v>19680</v>
      </c>
      <c r="AR64" s="68"/>
      <c r="AS64" s="68">
        <f t="shared" si="89"/>
        <v>25190</v>
      </c>
      <c r="AT64" s="91"/>
      <c r="AU64" s="91">
        <v>780</v>
      </c>
      <c r="AV64" s="68"/>
      <c r="AW64" s="68">
        <f>AS64+AU64-AT64</f>
        <v>25970</v>
      </c>
      <c r="AX64" s="91"/>
      <c r="AY64" s="91"/>
      <c r="AZ64" s="68"/>
      <c r="BA64" s="68">
        <f>AW64+AY64-AX64</f>
        <v>25970</v>
      </c>
      <c r="BB64" s="152">
        <f t="shared" si="34"/>
        <v>0</v>
      </c>
      <c r="BC64" s="152">
        <f>+G64+K64+O64+S64+W64+AA64+AE64+AI64+AM64+AQ64+AU64+AY64</f>
        <v>25970</v>
      </c>
      <c r="BD64" s="200"/>
      <c r="BE64" s="200">
        <f t="shared" si="83"/>
        <v>25970</v>
      </c>
    </row>
    <row r="65" spans="1:57" x14ac:dyDescent="0.5">
      <c r="A65" s="67">
        <v>53</v>
      </c>
      <c r="B65" s="81" t="s">
        <v>191</v>
      </c>
      <c r="C65" s="67"/>
      <c r="D65" s="170"/>
      <c r="E65" s="170"/>
      <c r="F65" s="91"/>
      <c r="G65" s="91">
        <v>40</v>
      </c>
      <c r="H65" s="68"/>
      <c r="I65" s="68">
        <f>E65+G65-F65</f>
        <v>40</v>
      </c>
      <c r="J65" s="91"/>
      <c r="K65" s="91"/>
      <c r="L65" s="68"/>
      <c r="M65" s="68">
        <f>I65+K65-J65</f>
        <v>40</v>
      </c>
      <c r="N65" s="91"/>
      <c r="O65" s="91"/>
      <c r="P65" s="68"/>
      <c r="Q65" s="68">
        <f>M65+O65-N65</f>
        <v>40</v>
      </c>
      <c r="R65" s="91"/>
      <c r="S65" s="91"/>
      <c r="T65" s="68"/>
      <c r="U65" s="68">
        <f>Q65+S65-R65</f>
        <v>40</v>
      </c>
      <c r="V65" s="91"/>
      <c r="W65" s="91"/>
      <c r="X65" s="68"/>
      <c r="Y65" s="68">
        <f>U65+W65-V65</f>
        <v>40</v>
      </c>
      <c r="Z65" s="91"/>
      <c r="AA65" s="91"/>
      <c r="AB65" s="68"/>
      <c r="AC65" s="68">
        <f>Y65+AA65-Z65</f>
        <v>40</v>
      </c>
      <c r="AD65" s="91"/>
      <c r="AE65" s="91">
        <v>40</v>
      </c>
      <c r="AF65" s="68"/>
      <c r="AG65" s="68">
        <f>AC65+AE65-AD65</f>
        <v>80</v>
      </c>
      <c r="AH65" s="91"/>
      <c r="AI65" s="91"/>
      <c r="AJ65" s="68"/>
      <c r="AK65" s="68">
        <f>AG65+AI65-AH65</f>
        <v>80</v>
      </c>
      <c r="AL65" s="91"/>
      <c r="AM65" s="91"/>
      <c r="AN65" s="68"/>
      <c r="AO65" s="68">
        <f>AK65+AM65-AL65</f>
        <v>80</v>
      </c>
      <c r="AP65" s="91"/>
      <c r="AQ65" s="91"/>
      <c r="AR65" s="68"/>
      <c r="AS65" s="68">
        <f>AO65+AQ65-AP65</f>
        <v>80</v>
      </c>
      <c r="AT65" s="91"/>
      <c r="AU65" s="91"/>
      <c r="AV65" s="68"/>
      <c r="AW65" s="68">
        <f>AS65+AU65-AT65</f>
        <v>80</v>
      </c>
      <c r="AX65" s="91"/>
      <c r="AY65" s="91">
        <v>40</v>
      </c>
      <c r="AZ65" s="68"/>
      <c r="BA65" s="68">
        <f>AW65+AY65-AX65</f>
        <v>120</v>
      </c>
      <c r="BB65" s="152">
        <f t="shared" si="34"/>
        <v>0</v>
      </c>
      <c r="BC65" s="152">
        <f>+G65+K65+O65+S65+W65+AA65+AE65+AI65+AM65+AQ65+AU65+AY65</f>
        <v>120</v>
      </c>
      <c r="BD65" s="200"/>
      <c r="BE65" s="200">
        <f t="shared" si="83"/>
        <v>120</v>
      </c>
    </row>
    <row r="66" spans="1:57" x14ac:dyDescent="0.5">
      <c r="A66" s="67">
        <v>54</v>
      </c>
      <c r="B66" s="81" t="s">
        <v>68</v>
      </c>
      <c r="C66" s="67">
        <v>271</v>
      </c>
      <c r="D66" s="170"/>
      <c r="E66" s="170"/>
      <c r="F66" s="91"/>
      <c r="G66" s="91"/>
      <c r="H66" s="68"/>
      <c r="I66" s="68">
        <f t="shared" ref="I66:I71" si="90">+E66+G66-F66</f>
        <v>0</v>
      </c>
      <c r="J66" s="91"/>
      <c r="K66" s="91"/>
      <c r="L66" s="68"/>
      <c r="M66" s="68">
        <f t="shared" ref="M66:M71" si="91">+I66+K66-J66</f>
        <v>0</v>
      </c>
      <c r="N66" s="91"/>
      <c r="O66" s="91"/>
      <c r="P66" s="68"/>
      <c r="Q66" s="68">
        <f t="shared" ref="Q66:Q71" si="92">+M66+O66-N66</f>
        <v>0</v>
      </c>
      <c r="R66" s="91"/>
      <c r="S66" s="91"/>
      <c r="T66" s="68"/>
      <c r="U66" s="68">
        <f t="shared" ref="U66:U71" si="93">+Q66+S66-R66</f>
        <v>0</v>
      </c>
      <c r="V66" s="91"/>
      <c r="W66" s="91"/>
      <c r="X66" s="68"/>
      <c r="Y66" s="68">
        <f t="shared" ref="Y66:Y71" si="94">+U66+W66-V66</f>
        <v>0</v>
      </c>
      <c r="Z66" s="91"/>
      <c r="AA66" s="91"/>
      <c r="AB66" s="68"/>
      <c r="AC66" s="68">
        <f t="shared" ref="AC66:AC71" si="95">+Y66+AA66-Z66</f>
        <v>0</v>
      </c>
      <c r="AD66" s="91"/>
      <c r="AE66" s="91"/>
      <c r="AF66" s="68"/>
      <c r="AG66" s="68">
        <f t="shared" ref="AG66:AG71" si="96">+AC66+AE66-AD66</f>
        <v>0</v>
      </c>
      <c r="AH66" s="91"/>
      <c r="AI66" s="91"/>
      <c r="AJ66" s="68"/>
      <c r="AK66" s="68">
        <f t="shared" ref="AK66:AK71" si="97">+AG66+AI66-AH66</f>
        <v>0</v>
      </c>
      <c r="AL66" s="91"/>
      <c r="AM66" s="91"/>
      <c r="AN66" s="68"/>
      <c r="AO66" s="68">
        <f t="shared" ref="AO66:AO71" si="98">+AK66+AM66-AL66</f>
        <v>0</v>
      </c>
      <c r="AP66" s="91"/>
      <c r="AQ66" s="91"/>
      <c r="AR66" s="68"/>
      <c r="AS66" s="68">
        <f t="shared" ref="AS66:AS71" si="99">+AO66+AQ66-AP66</f>
        <v>0</v>
      </c>
      <c r="AT66" s="91"/>
      <c r="AU66" s="91"/>
      <c r="AV66" s="68"/>
      <c r="AW66" s="68">
        <f t="shared" ref="AW66:AW71" si="100">+BE66+AU66-AT66</f>
        <v>0</v>
      </c>
      <c r="AX66" s="91"/>
      <c r="AY66" s="91"/>
      <c r="AZ66" s="68"/>
      <c r="BA66" s="68">
        <f t="shared" ref="BA66:BA71" si="101">+BI66+AY66-AX66</f>
        <v>0</v>
      </c>
      <c r="BB66" s="152">
        <f t="shared" si="34"/>
        <v>0</v>
      </c>
      <c r="BC66" s="152">
        <f t="shared" si="63"/>
        <v>0</v>
      </c>
      <c r="BD66" s="200"/>
      <c r="BE66" s="200">
        <f>+AQ66+AS66-AR66</f>
        <v>0</v>
      </c>
    </row>
    <row r="67" spans="1:57" x14ac:dyDescent="0.5">
      <c r="A67" s="67">
        <v>55</v>
      </c>
      <c r="B67" s="82" t="s">
        <v>69</v>
      </c>
      <c r="C67" s="67">
        <v>275</v>
      </c>
      <c r="D67" s="170">
        <f>'งบทดลองส่งรายเดือนปี59-60'!CR61+'งบทดลองส่งรายเดือนปี59-60'!CT61-'งบทดลองส่งรายเดือนปี59-60'!CU61</f>
        <v>0</v>
      </c>
      <c r="E67" s="170">
        <f>+'งบทดลองส่งรายเดือนปี59-60'!CS61+'งบทดลองส่งรายเดือนปี59-60'!CU61-'งบทดลองส่งรายเดือนปี59-60'!CT61</f>
        <v>0</v>
      </c>
      <c r="F67" s="91"/>
      <c r="G67" s="91"/>
      <c r="H67" s="68">
        <f>D67+F67-G67</f>
        <v>0</v>
      </c>
      <c r="I67" s="68">
        <f t="shared" si="90"/>
        <v>0</v>
      </c>
      <c r="J67" s="91"/>
      <c r="K67" s="91"/>
      <c r="L67" s="68">
        <f>H67+J67-K67</f>
        <v>0</v>
      </c>
      <c r="M67" s="68">
        <f t="shared" si="91"/>
        <v>0</v>
      </c>
      <c r="N67" s="91"/>
      <c r="O67" s="91"/>
      <c r="P67" s="68">
        <f>L67+N67-O67</f>
        <v>0</v>
      </c>
      <c r="Q67" s="68">
        <f t="shared" si="92"/>
        <v>0</v>
      </c>
      <c r="R67" s="91"/>
      <c r="S67" s="91"/>
      <c r="T67" s="68">
        <f>P67+R67-S67</f>
        <v>0</v>
      </c>
      <c r="U67" s="68">
        <f t="shared" si="93"/>
        <v>0</v>
      </c>
      <c r="V67" s="91"/>
      <c r="W67" s="91"/>
      <c r="X67" s="68">
        <f>T67+V67-W67</f>
        <v>0</v>
      </c>
      <c r="Y67" s="68">
        <f t="shared" si="94"/>
        <v>0</v>
      </c>
      <c r="Z67" s="91"/>
      <c r="AA67" s="91"/>
      <c r="AB67" s="68">
        <f>X67+Z67-AA67</f>
        <v>0</v>
      </c>
      <c r="AC67" s="68">
        <f t="shared" si="95"/>
        <v>0</v>
      </c>
      <c r="AD67" s="91"/>
      <c r="AE67" s="91"/>
      <c r="AF67" s="68">
        <f>AB67+AD67-AE67</f>
        <v>0</v>
      </c>
      <c r="AG67" s="68">
        <f t="shared" si="96"/>
        <v>0</v>
      </c>
      <c r="AH67" s="91"/>
      <c r="AI67" s="91"/>
      <c r="AJ67" s="68">
        <f>AF67+AH67-AI67</f>
        <v>0</v>
      </c>
      <c r="AK67" s="68">
        <f t="shared" si="97"/>
        <v>0</v>
      </c>
      <c r="AL67" s="91"/>
      <c r="AM67" s="91"/>
      <c r="AN67" s="68">
        <f>AJ67+AL67-AM67</f>
        <v>0</v>
      </c>
      <c r="AO67" s="68">
        <f t="shared" si="98"/>
        <v>0</v>
      </c>
      <c r="AP67" s="91"/>
      <c r="AQ67" s="91"/>
      <c r="AR67" s="68">
        <f>AN67+AP67-AQ67</f>
        <v>0</v>
      </c>
      <c r="AS67" s="68">
        <f t="shared" si="99"/>
        <v>0</v>
      </c>
      <c r="AT67" s="91"/>
      <c r="AU67" s="91"/>
      <c r="AV67" s="68">
        <f>BD67+AT67-AU67</f>
        <v>0</v>
      </c>
      <c r="AW67" s="68">
        <f t="shared" si="100"/>
        <v>0</v>
      </c>
      <c r="AX67" s="91"/>
      <c r="AY67" s="91"/>
      <c r="AZ67" s="68">
        <f>BH67+AX67-AY67</f>
        <v>0</v>
      </c>
      <c r="BA67" s="68">
        <f t="shared" si="101"/>
        <v>0</v>
      </c>
      <c r="BB67" s="152">
        <f t="shared" si="34"/>
        <v>0</v>
      </c>
      <c r="BC67" s="152">
        <f t="shared" si="63"/>
        <v>0</v>
      </c>
      <c r="BD67" s="200">
        <f>AP67+AR67-AS67</f>
        <v>0</v>
      </c>
      <c r="BE67" s="200">
        <f>+AQ67+AS67-AR67</f>
        <v>0</v>
      </c>
    </row>
    <row r="68" spans="1:57" x14ac:dyDescent="0.5">
      <c r="A68" s="67">
        <v>56</v>
      </c>
      <c r="B68" s="81" t="s">
        <v>70</v>
      </c>
      <c r="C68" s="67">
        <v>277</v>
      </c>
      <c r="D68" s="170">
        <f>'งบทดลองส่งรายเดือนปี59-60'!CR62+'งบทดลองส่งรายเดือนปี59-60'!CT62-'งบทดลองส่งรายเดือนปี59-60'!CU62</f>
        <v>0</v>
      </c>
      <c r="E68" s="170"/>
      <c r="F68" s="91"/>
      <c r="G68" s="91"/>
      <c r="H68" s="68">
        <f>D68+F68-G68</f>
        <v>0</v>
      </c>
      <c r="I68" s="68">
        <f t="shared" si="90"/>
        <v>0</v>
      </c>
      <c r="J68" s="91"/>
      <c r="K68" s="91"/>
      <c r="L68" s="68">
        <f>H68+J68-K68</f>
        <v>0</v>
      </c>
      <c r="M68" s="68">
        <f t="shared" si="91"/>
        <v>0</v>
      </c>
      <c r="N68" s="91"/>
      <c r="O68" s="91"/>
      <c r="P68" s="68">
        <f>L68+N68-O68</f>
        <v>0</v>
      </c>
      <c r="Q68" s="68">
        <f t="shared" si="92"/>
        <v>0</v>
      </c>
      <c r="R68" s="91"/>
      <c r="S68" s="91"/>
      <c r="T68" s="68">
        <f>P68+R68-S68</f>
        <v>0</v>
      </c>
      <c r="U68" s="68">
        <f t="shared" si="93"/>
        <v>0</v>
      </c>
      <c r="V68" s="91"/>
      <c r="W68" s="91"/>
      <c r="X68" s="68">
        <f>T68+V68-W68</f>
        <v>0</v>
      </c>
      <c r="Y68" s="68">
        <f t="shared" si="94"/>
        <v>0</v>
      </c>
      <c r="Z68" s="91"/>
      <c r="AA68" s="91"/>
      <c r="AB68" s="68">
        <f>X68+Z68-AA68</f>
        <v>0</v>
      </c>
      <c r="AC68" s="68">
        <f t="shared" si="95"/>
        <v>0</v>
      </c>
      <c r="AD68" s="91"/>
      <c r="AE68" s="91"/>
      <c r="AF68" s="68">
        <f>AB68+AD68-AE68</f>
        <v>0</v>
      </c>
      <c r="AG68" s="68">
        <f t="shared" si="96"/>
        <v>0</v>
      </c>
      <c r="AH68" s="91"/>
      <c r="AI68" s="91"/>
      <c r="AJ68" s="68">
        <f>AF68+AH68-AI68</f>
        <v>0</v>
      </c>
      <c r="AK68" s="68">
        <f t="shared" si="97"/>
        <v>0</v>
      </c>
      <c r="AL68" s="91"/>
      <c r="AM68" s="91"/>
      <c r="AN68" s="68">
        <f>AJ68+AL68-AM68</f>
        <v>0</v>
      </c>
      <c r="AO68" s="68">
        <f t="shared" si="98"/>
        <v>0</v>
      </c>
      <c r="AP68" s="91"/>
      <c r="AQ68" s="91"/>
      <c r="AR68" s="68">
        <f>AN68+AP68-AQ68</f>
        <v>0</v>
      </c>
      <c r="AS68" s="68">
        <f t="shared" si="99"/>
        <v>0</v>
      </c>
      <c r="AT68" s="91"/>
      <c r="AU68" s="91"/>
      <c r="AV68" s="68">
        <f>BD68+AT68-AU68</f>
        <v>0</v>
      </c>
      <c r="AW68" s="68">
        <f t="shared" si="100"/>
        <v>0</v>
      </c>
      <c r="AX68" s="91"/>
      <c r="AY68" s="91"/>
      <c r="AZ68" s="68">
        <f>BH68+AX68-AY68</f>
        <v>0</v>
      </c>
      <c r="BA68" s="68">
        <f t="shared" si="101"/>
        <v>0</v>
      </c>
      <c r="BB68" s="152">
        <f t="shared" si="34"/>
        <v>0</v>
      </c>
      <c r="BC68" s="152">
        <f t="shared" si="63"/>
        <v>0</v>
      </c>
      <c r="BD68" s="200">
        <f>AP68+AR68-AS68</f>
        <v>0</v>
      </c>
      <c r="BE68" s="200">
        <f>+AQ68+AS68-AR68</f>
        <v>0</v>
      </c>
    </row>
    <row r="69" spans="1:57" x14ac:dyDescent="0.5">
      <c r="A69" s="67">
        <v>57</v>
      </c>
      <c r="B69" s="81" t="s">
        <v>71</v>
      </c>
      <c r="C69" s="67">
        <v>279</v>
      </c>
      <c r="D69" s="170"/>
      <c r="E69" s="170"/>
      <c r="F69" s="91"/>
      <c r="G69" s="91"/>
      <c r="H69" s="68"/>
      <c r="I69" s="68">
        <f t="shared" si="90"/>
        <v>0</v>
      </c>
      <c r="J69" s="91"/>
      <c r="K69" s="91"/>
      <c r="L69" s="68"/>
      <c r="M69" s="68">
        <f t="shared" si="91"/>
        <v>0</v>
      </c>
      <c r="N69" s="91"/>
      <c r="O69" s="91"/>
      <c r="P69" s="68"/>
      <c r="Q69" s="68">
        <f t="shared" si="92"/>
        <v>0</v>
      </c>
      <c r="R69" s="91"/>
      <c r="S69" s="91"/>
      <c r="T69" s="68"/>
      <c r="U69" s="68">
        <f t="shared" si="93"/>
        <v>0</v>
      </c>
      <c r="V69" s="91"/>
      <c r="W69" s="91">
        <v>987.18</v>
      </c>
      <c r="X69" s="68"/>
      <c r="Y69" s="68">
        <f t="shared" si="94"/>
        <v>987.18</v>
      </c>
      <c r="Z69" s="91"/>
      <c r="AA69" s="91"/>
      <c r="AB69" s="68"/>
      <c r="AC69" s="68">
        <f t="shared" si="95"/>
        <v>987.18</v>
      </c>
      <c r="AD69" s="91"/>
      <c r="AE69" s="91"/>
      <c r="AF69" s="68"/>
      <c r="AG69" s="68">
        <f t="shared" si="96"/>
        <v>987.18</v>
      </c>
      <c r="AH69" s="91"/>
      <c r="AI69" s="91"/>
      <c r="AJ69" s="68"/>
      <c r="AK69" s="68">
        <f t="shared" si="97"/>
        <v>987.18</v>
      </c>
      <c r="AL69" s="91"/>
      <c r="AM69" s="91"/>
      <c r="AN69" s="68"/>
      <c r="AO69" s="68">
        <f t="shared" si="98"/>
        <v>987.18</v>
      </c>
      <c r="AP69" s="91"/>
      <c r="AQ69" s="91"/>
      <c r="AR69" s="68"/>
      <c r="AS69" s="68">
        <f t="shared" si="99"/>
        <v>987.18</v>
      </c>
      <c r="AT69" s="91"/>
      <c r="AU69" s="91">
        <v>1212.8599999999999</v>
      </c>
      <c r="AV69" s="68"/>
      <c r="AW69" s="68">
        <f>AS69+AU69-AT69</f>
        <v>2200.04</v>
      </c>
      <c r="AX69" s="91"/>
      <c r="AY69" s="91"/>
      <c r="AZ69" s="68"/>
      <c r="BA69" s="68">
        <f>AW69+AY69-AX69</f>
        <v>2200.04</v>
      </c>
      <c r="BB69" s="152">
        <f t="shared" si="34"/>
        <v>0</v>
      </c>
      <c r="BC69" s="152">
        <f>+G69+K69+O69+S69+W69+AA69+AE69+AI69+AM69+AQ69+AU69+AY69</f>
        <v>2200.04</v>
      </c>
      <c r="BD69" s="200"/>
      <c r="BE69" s="200">
        <f>BC69</f>
        <v>2200.04</v>
      </c>
    </row>
    <row r="70" spans="1:57" x14ac:dyDescent="0.5">
      <c r="A70" s="67">
        <v>58</v>
      </c>
      <c r="B70" s="81" t="s">
        <v>10</v>
      </c>
      <c r="C70" s="67">
        <v>281</v>
      </c>
      <c r="D70" s="170"/>
      <c r="E70" s="170"/>
      <c r="F70" s="91"/>
      <c r="G70" s="91">
        <v>50</v>
      </c>
      <c r="H70" s="68"/>
      <c r="I70" s="68">
        <f t="shared" si="90"/>
        <v>50</v>
      </c>
      <c r="J70" s="91"/>
      <c r="K70" s="91"/>
      <c r="L70" s="68"/>
      <c r="M70" s="68">
        <f t="shared" si="91"/>
        <v>50</v>
      </c>
      <c r="N70" s="91"/>
      <c r="O70" s="91"/>
      <c r="P70" s="68"/>
      <c r="Q70" s="68">
        <f t="shared" si="92"/>
        <v>50</v>
      </c>
      <c r="R70" s="91"/>
      <c r="S70" s="91"/>
      <c r="T70" s="68"/>
      <c r="U70" s="68">
        <f t="shared" si="93"/>
        <v>50</v>
      </c>
      <c r="V70" s="91"/>
      <c r="W70" s="91"/>
      <c r="X70" s="68"/>
      <c r="Y70" s="68">
        <f t="shared" si="94"/>
        <v>50</v>
      </c>
      <c r="Z70" s="91"/>
      <c r="AA70" s="91"/>
      <c r="AB70" s="68"/>
      <c r="AC70" s="68">
        <f t="shared" si="95"/>
        <v>50</v>
      </c>
      <c r="AD70" s="91"/>
      <c r="AE70" s="91">
        <v>50</v>
      </c>
      <c r="AF70" s="68"/>
      <c r="AG70" s="68">
        <f t="shared" si="96"/>
        <v>100</v>
      </c>
      <c r="AH70" s="91"/>
      <c r="AI70" s="91"/>
      <c r="AJ70" s="68"/>
      <c r="AK70" s="68">
        <f t="shared" si="97"/>
        <v>100</v>
      </c>
      <c r="AL70" s="91"/>
      <c r="AM70" s="91"/>
      <c r="AN70" s="68"/>
      <c r="AO70" s="68">
        <f t="shared" si="98"/>
        <v>100</v>
      </c>
      <c r="AP70" s="91"/>
      <c r="AQ70" s="91"/>
      <c r="AR70" s="68"/>
      <c r="AS70" s="68">
        <f t="shared" si="99"/>
        <v>100</v>
      </c>
      <c r="AT70" s="91"/>
      <c r="AU70" s="91"/>
      <c r="AV70" s="68"/>
      <c r="AW70" s="68">
        <f>AS70+AU70-AT70</f>
        <v>100</v>
      </c>
      <c r="AX70" s="91"/>
      <c r="AY70" s="91">
        <v>50</v>
      </c>
      <c r="AZ70" s="68"/>
      <c r="BA70" s="68">
        <f>AW70+AY70-AX70</f>
        <v>150</v>
      </c>
      <c r="BB70" s="152">
        <f t="shared" si="34"/>
        <v>0</v>
      </c>
      <c r="BC70" s="152">
        <f>+G70+K70+O70+S70+W70+AA70+AE70+AI70+AM70+AQ70+AY70</f>
        <v>150</v>
      </c>
      <c r="BD70" s="200"/>
      <c r="BE70" s="200">
        <f>BC70</f>
        <v>150</v>
      </c>
    </row>
    <row r="71" spans="1:57" x14ac:dyDescent="0.5">
      <c r="A71" s="67">
        <v>59</v>
      </c>
      <c r="B71" s="81" t="s">
        <v>84</v>
      </c>
      <c r="C71" s="67"/>
      <c r="D71" s="170">
        <f>'งบทดลองส่งรายเดือนปี59-60'!CR65+'งบทดลองส่งรายเดือนปี59-60'!CT65-'งบทดลองส่งรายเดือนปี59-60'!CU65</f>
        <v>0</v>
      </c>
      <c r="E71" s="170">
        <f>+'งบทดลองส่งรายเดือนปี59-60'!CS65+'งบทดลองส่งรายเดือนปี59-60'!CU65-'งบทดลองส่งรายเดือนปี59-60'!CT65</f>
        <v>0</v>
      </c>
      <c r="F71" s="91"/>
      <c r="G71" s="91"/>
      <c r="H71" s="68">
        <f>D71+F71-G71</f>
        <v>0</v>
      </c>
      <c r="I71" s="68">
        <f t="shared" si="90"/>
        <v>0</v>
      </c>
      <c r="J71" s="91"/>
      <c r="K71" s="91"/>
      <c r="L71" s="68">
        <f>H71+J71-K71</f>
        <v>0</v>
      </c>
      <c r="M71" s="68">
        <f t="shared" si="91"/>
        <v>0</v>
      </c>
      <c r="N71" s="91"/>
      <c r="O71" s="91"/>
      <c r="P71" s="68">
        <f>L71+N71-O71</f>
        <v>0</v>
      </c>
      <c r="Q71" s="68">
        <f t="shared" si="92"/>
        <v>0</v>
      </c>
      <c r="R71" s="91"/>
      <c r="S71" s="91"/>
      <c r="T71" s="68">
        <f>P71+R71-S71</f>
        <v>0</v>
      </c>
      <c r="U71" s="68">
        <f t="shared" si="93"/>
        <v>0</v>
      </c>
      <c r="V71" s="91"/>
      <c r="W71" s="91"/>
      <c r="X71" s="68">
        <f>T71+V71-W71</f>
        <v>0</v>
      </c>
      <c r="Y71" s="68">
        <f t="shared" si="94"/>
        <v>0</v>
      </c>
      <c r="Z71" s="91"/>
      <c r="AA71" s="91"/>
      <c r="AB71" s="68">
        <f>X71+Z71-AA71</f>
        <v>0</v>
      </c>
      <c r="AC71" s="68">
        <f t="shared" si="95"/>
        <v>0</v>
      </c>
      <c r="AD71" s="91"/>
      <c r="AE71" s="91"/>
      <c r="AF71" s="68">
        <f>AB71+AD71-AE71</f>
        <v>0</v>
      </c>
      <c r="AG71" s="68">
        <f t="shared" si="96"/>
        <v>0</v>
      </c>
      <c r="AH71" s="91"/>
      <c r="AI71" s="91"/>
      <c r="AJ71" s="68">
        <f>AF71+AH71-AI71</f>
        <v>0</v>
      </c>
      <c r="AK71" s="68">
        <f t="shared" si="97"/>
        <v>0</v>
      </c>
      <c r="AL71" s="91"/>
      <c r="AM71" s="91"/>
      <c r="AN71" s="68">
        <f>AJ71+AL71-AM71</f>
        <v>0</v>
      </c>
      <c r="AO71" s="68">
        <f t="shared" si="98"/>
        <v>0</v>
      </c>
      <c r="AP71" s="91"/>
      <c r="AQ71" s="91"/>
      <c r="AR71" s="68">
        <f>AN71+AP71-AQ71</f>
        <v>0</v>
      </c>
      <c r="AS71" s="68">
        <f t="shared" si="99"/>
        <v>0</v>
      </c>
      <c r="AT71" s="91"/>
      <c r="AU71" s="91"/>
      <c r="AV71" s="68">
        <f>BD71+AT71-AU71</f>
        <v>0</v>
      </c>
      <c r="AW71" s="68">
        <f t="shared" si="100"/>
        <v>0</v>
      </c>
      <c r="AX71" s="91"/>
      <c r="AY71" s="91"/>
      <c r="AZ71" s="68">
        <f>BH71+AX71-AY71</f>
        <v>0</v>
      </c>
      <c r="BA71" s="68">
        <f t="shared" si="101"/>
        <v>0</v>
      </c>
      <c r="BB71" s="152">
        <f t="shared" si="34"/>
        <v>0</v>
      </c>
      <c r="BC71" s="152">
        <f t="shared" ref="BC71:BC97" si="102">+G71+K71+O71+S71+W71+AA71+AE71+AI71+AM71+AQ71+AS71</f>
        <v>0</v>
      </c>
      <c r="BD71" s="200">
        <f>AP71+AR71-AS71</f>
        <v>0</v>
      </c>
      <c r="BE71" s="200">
        <f>+AQ71+AS71-AR71</f>
        <v>0</v>
      </c>
    </row>
    <row r="72" spans="1:57" s="180" customFormat="1" ht="24" x14ac:dyDescent="0.55000000000000004">
      <c r="A72" s="181"/>
      <c r="B72" s="186" t="s">
        <v>217</v>
      </c>
      <c r="C72" s="181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  <c r="AV72" s="170"/>
      <c r="AW72" s="170"/>
      <c r="AX72" s="170"/>
      <c r="AY72" s="170"/>
      <c r="AZ72" s="170"/>
      <c r="BA72" s="170"/>
      <c r="BB72" s="152">
        <f t="shared" si="34"/>
        <v>0</v>
      </c>
      <c r="BC72" s="152">
        <f t="shared" si="102"/>
        <v>0</v>
      </c>
      <c r="BD72" s="200"/>
      <c r="BE72" s="200"/>
    </row>
    <row r="73" spans="1:57" x14ac:dyDescent="0.5">
      <c r="A73" s="67">
        <v>60</v>
      </c>
      <c r="B73" s="81" t="s">
        <v>23</v>
      </c>
      <c r="C73" s="67">
        <v>287</v>
      </c>
      <c r="D73" s="170">
        <v>0</v>
      </c>
      <c r="E73" s="170"/>
      <c r="F73" s="91"/>
      <c r="G73" s="91"/>
      <c r="H73" s="68">
        <f>D73+F73-G73</f>
        <v>0</v>
      </c>
      <c r="I73" s="68"/>
      <c r="J73" s="91"/>
      <c r="K73" s="91"/>
      <c r="L73" s="68">
        <f>H73+J73-K73</f>
        <v>0</v>
      </c>
      <c r="M73" s="68"/>
      <c r="N73" s="91"/>
      <c r="O73" s="91"/>
      <c r="P73" s="68">
        <f>L73+N73-O73</f>
        <v>0</v>
      </c>
      <c r="Q73" s="68"/>
      <c r="R73" s="91"/>
      <c r="S73" s="91"/>
      <c r="T73" s="68">
        <f>P73+R73-S73</f>
        <v>0</v>
      </c>
      <c r="U73" s="68"/>
      <c r="V73" s="91"/>
      <c r="W73" s="91"/>
      <c r="X73" s="68">
        <f>T73+V73-W73</f>
        <v>0</v>
      </c>
      <c r="Y73" s="68"/>
      <c r="Z73" s="91"/>
      <c r="AA73" s="91"/>
      <c r="AB73" s="68">
        <f>X73+Z73-AA73</f>
        <v>0</v>
      </c>
      <c r="AC73" s="68"/>
      <c r="AD73" s="91"/>
      <c r="AE73" s="91"/>
      <c r="AF73" s="68">
        <f>AB73+AD73-AE73</f>
        <v>0</v>
      </c>
      <c r="AG73" s="68"/>
      <c r="AH73" s="91"/>
      <c r="AI73" s="91"/>
      <c r="AJ73" s="68">
        <f>AF73+AH73-AI73</f>
        <v>0</v>
      </c>
      <c r="AK73" s="68"/>
      <c r="AL73" s="91">
        <v>7210</v>
      </c>
      <c r="AM73" s="91"/>
      <c r="AN73" s="68">
        <f>AJ73+AL73-AM73</f>
        <v>7210</v>
      </c>
      <c r="AO73" s="68"/>
      <c r="AP73" s="91">
        <v>3300</v>
      </c>
      <c r="AQ73" s="91"/>
      <c r="AR73" s="68">
        <f>AN73+AP73-AQ73</f>
        <v>10510</v>
      </c>
      <c r="AS73" s="68"/>
      <c r="AT73" s="91"/>
      <c r="AU73" s="91"/>
      <c r="AV73" s="68">
        <f>BD73+AT73-AU73</f>
        <v>10510</v>
      </c>
      <c r="AW73" s="68"/>
      <c r="AX73" s="91"/>
      <c r="AY73" s="91"/>
      <c r="AZ73" s="68">
        <f>AV73+AX73-AY73</f>
        <v>10510</v>
      </c>
      <c r="BA73" s="68"/>
      <c r="BB73" s="152">
        <f>+F73+J73+N73+R73+V73+Z73+AD73+AH73+AL73+AP73</f>
        <v>10510</v>
      </c>
      <c r="BC73" s="152">
        <f t="shared" si="102"/>
        <v>0</v>
      </c>
      <c r="BD73" s="200">
        <f>AR73</f>
        <v>10510</v>
      </c>
      <c r="BE73" s="200"/>
    </row>
    <row r="74" spans="1:57" ht="24" x14ac:dyDescent="0.55000000000000004">
      <c r="A74" s="67">
        <v>61</v>
      </c>
      <c r="B74" s="70" t="s">
        <v>148</v>
      </c>
      <c r="C74" s="71"/>
      <c r="D74" s="170">
        <f>'งบทดลองส่งรายเดือนปี59-60'!CR67+'งบทดลองส่งรายเดือนปี59-60'!CT67-'งบทดลองส่งรายเดือนปี59-60'!CU67</f>
        <v>0</v>
      </c>
      <c r="E74" s="170"/>
      <c r="F74" s="91"/>
      <c r="G74" s="91"/>
      <c r="H74" s="68">
        <f>D74+F74-G74</f>
        <v>0</v>
      </c>
      <c r="I74" s="68"/>
      <c r="J74" s="91"/>
      <c r="K74" s="91"/>
      <c r="L74" s="68">
        <f>H74+J74-K74</f>
        <v>0</v>
      </c>
      <c r="M74" s="68"/>
      <c r="N74" s="91"/>
      <c r="O74" s="91"/>
      <c r="P74" s="68">
        <f>L74+N74-O74</f>
        <v>0</v>
      </c>
      <c r="Q74" s="68"/>
      <c r="R74" s="91"/>
      <c r="S74" s="91"/>
      <c r="T74" s="68">
        <f>P74+R74-S74</f>
        <v>0</v>
      </c>
      <c r="U74" s="68"/>
      <c r="V74" s="91"/>
      <c r="W74" s="91"/>
      <c r="X74" s="68">
        <f>T74+V74-W74</f>
        <v>0</v>
      </c>
      <c r="Y74" s="68"/>
      <c r="Z74" s="91"/>
      <c r="AA74" s="91"/>
      <c r="AB74" s="68">
        <f>X74+Z74-AA74</f>
        <v>0</v>
      </c>
      <c r="AC74" s="68"/>
      <c r="AD74" s="91"/>
      <c r="AE74" s="91"/>
      <c r="AF74" s="68">
        <f>AB74+AD74-AE74</f>
        <v>0</v>
      </c>
      <c r="AG74" s="68"/>
      <c r="AH74" s="91"/>
      <c r="AI74" s="91"/>
      <c r="AJ74" s="68">
        <f>AF74+AH74-AI74</f>
        <v>0</v>
      </c>
      <c r="AK74" s="68"/>
      <c r="AL74" s="91"/>
      <c r="AM74" s="91"/>
      <c r="AN74" s="68">
        <f>AJ74+AL74-AM74</f>
        <v>0</v>
      </c>
      <c r="AO74" s="68"/>
      <c r="AP74" s="91"/>
      <c r="AQ74" s="91"/>
      <c r="AR74" s="68">
        <f>AN74+AP74-AQ74</f>
        <v>0</v>
      </c>
      <c r="AS74" s="68"/>
      <c r="AT74" s="91"/>
      <c r="AU74" s="91"/>
      <c r="AV74" s="68">
        <f>BD74+AT74-AU74</f>
        <v>0</v>
      </c>
      <c r="AW74" s="68"/>
      <c r="AX74" s="91"/>
      <c r="AY74" s="91"/>
      <c r="AZ74" s="68">
        <f>BH74+AX74-AY74</f>
        <v>0</v>
      </c>
      <c r="BA74" s="68"/>
      <c r="BB74" s="152">
        <f t="shared" si="34"/>
        <v>0</v>
      </c>
      <c r="BC74" s="152">
        <f t="shared" si="102"/>
        <v>0</v>
      </c>
      <c r="BD74" s="200">
        <f>AP74+AR74-AS74</f>
        <v>0</v>
      </c>
      <c r="BE74" s="200"/>
    </row>
    <row r="75" spans="1:57" x14ac:dyDescent="0.5">
      <c r="A75" s="67">
        <v>62</v>
      </c>
      <c r="B75" s="81" t="s">
        <v>149</v>
      </c>
      <c r="C75" s="67">
        <v>305</v>
      </c>
      <c r="D75" s="170"/>
      <c r="E75" s="170"/>
      <c r="F75" s="91"/>
      <c r="G75" s="91"/>
      <c r="H75" s="68">
        <f>+D75+F75-G75</f>
        <v>0</v>
      </c>
      <c r="I75" s="68"/>
      <c r="J75" s="91"/>
      <c r="K75" s="91"/>
      <c r="L75" s="68">
        <f>+H75+J75-K75</f>
        <v>0</v>
      </c>
      <c r="M75" s="68"/>
      <c r="N75" s="91">
        <v>800</v>
      </c>
      <c r="O75" s="91"/>
      <c r="P75" s="68">
        <f>+L75+N75-O75</f>
        <v>800</v>
      </c>
      <c r="Q75" s="68"/>
      <c r="R75" s="91"/>
      <c r="S75" s="91"/>
      <c r="T75" s="68">
        <f>+P75+R75-S75</f>
        <v>800</v>
      </c>
      <c r="U75" s="68"/>
      <c r="V75" s="91"/>
      <c r="W75" s="91"/>
      <c r="X75" s="68">
        <f>+T75+V75-W75</f>
        <v>800</v>
      </c>
      <c r="Y75" s="68"/>
      <c r="Z75" s="91"/>
      <c r="AA75" s="91"/>
      <c r="AB75" s="68">
        <f>+X75+Z75-AA75</f>
        <v>800</v>
      </c>
      <c r="AC75" s="68"/>
      <c r="AD75" s="91">
        <v>200</v>
      </c>
      <c r="AE75" s="91"/>
      <c r="AF75" s="68">
        <f>+AB75+AD75-AE75</f>
        <v>1000</v>
      </c>
      <c r="AG75" s="68"/>
      <c r="AH75" s="91">
        <v>600</v>
      </c>
      <c r="AI75" s="91"/>
      <c r="AJ75" s="68">
        <f>+AF75+AH75-AI75</f>
        <v>1600</v>
      </c>
      <c r="AK75" s="68"/>
      <c r="AL75" s="91">
        <v>1200</v>
      </c>
      <c r="AM75" s="91"/>
      <c r="AN75" s="68">
        <f>+AJ75+AL75-AM75</f>
        <v>2800</v>
      </c>
      <c r="AO75" s="68"/>
      <c r="AP75" s="91">
        <v>1200</v>
      </c>
      <c r="AQ75" s="91"/>
      <c r="AR75" s="68">
        <f>+AN75+AP75-AQ75</f>
        <v>4000</v>
      </c>
      <c r="AS75" s="68"/>
      <c r="AT75" s="91">
        <v>400</v>
      </c>
      <c r="AU75" s="91"/>
      <c r="AV75" s="68">
        <f>AR75+AT75-AU75</f>
        <v>4400</v>
      </c>
      <c r="AW75" s="68"/>
      <c r="AX75" s="91">
        <v>800</v>
      </c>
      <c r="AY75" s="91"/>
      <c r="AZ75" s="68">
        <f>AV75+AX75-AY75</f>
        <v>5200</v>
      </c>
      <c r="BA75" s="68"/>
      <c r="BB75" s="152">
        <f t="shared" ref="BB75:BB82" si="103">+F75+J75+N75+R75+V75+Z75+AD75+AH75+AL75+AP75+AT75+AX75</f>
        <v>5200</v>
      </c>
      <c r="BC75" s="152">
        <f t="shared" si="102"/>
        <v>0</v>
      </c>
      <c r="BD75" s="200">
        <f>BB75</f>
        <v>5200</v>
      </c>
      <c r="BE75" s="200"/>
    </row>
    <row r="76" spans="1:57" x14ac:dyDescent="0.5">
      <c r="A76" s="67">
        <v>63</v>
      </c>
      <c r="B76" s="81" t="s">
        <v>150</v>
      </c>
      <c r="C76" s="67"/>
      <c r="D76" s="170"/>
      <c r="E76" s="170"/>
      <c r="F76" s="91">
        <v>300</v>
      </c>
      <c r="G76" s="91"/>
      <c r="H76" s="68">
        <f>D76+F76-G76</f>
        <v>300</v>
      </c>
      <c r="I76" s="68"/>
      <c r="J76" s="91">
        <v>300</v>
      </c>
      <c r="K76" s="91"/>
      <c r="L76" s="68">
        <f>H76+J76-K76</f>
        <v>600</v>
      </c>
      <c r="M76" s="68"/>
      <c r="N76" s="91">
        <v>1100</v>
      </c>
      <c r="O76" s="91"/>
      <c r="P76" s="68">
        <f t="shared" ref="P76:P106" si="104">L76+N76-O76</f>
        <v>1700</v>
      </c>
      <c r="Q76" s="68"/>
      <c r="R76" s="91">
        <v>300</v>
      </c>
      <c r="S76" s="91"/>
      <c r="T76" s="68">
        <f t="shared" ref="T76:T106" si="105">P76+R76-S76</f>
        <v>2000</v>
      </c>
      <c r="U76" s="68"/>
      <c r="V76" s="91">
        <v>300</v>
      </c>
      <c r="W76" s="91"/>
      <c r="X76" s="68">
        <f t="shared" ref="X76:X106" si="106">T76+V76-W76</f>
        <v>2300</v>
      </c>
      <c r="Y76" s="68"/>
      <c r="Z76" s="91">
        <v>800</v>
      </c>
      <c r="AA76" s="91"/>
      <c r="AB76" s="68">
        <f t="shared" ref="AB76:AB106" si="107">X76+Z76-AA76</f>
        <v>3100</v>
      </c>
      <c r="AC76" s="68"/>
      <c r="AD76" s="91">
        <v>1000</v>
      </c>
      <c r="AE76" s="91"/>
      <c r="AF76" s="68">
        <f t="shared" ref="AF76:AF106" si="108">AB76+AD76-AE76</f>
        <v>4100</v>
      </c>
      <c r="AG76" s="68"/>
      <c r="AH76" s="91">
        <v>1100</v>
      </c>
      <c r="AI76" s="91"/>
      <c r="AJ76" s="68">
        <f t="shared" ref="AJ76:AJ82" si="109">AF76+AH76-AI76</f>
        <v>5200</v>
      </c>
      <c r="AK76" s="68"/>
      <c r="AL76" s="91">
        <v>2400</v>
      </c>
      <c r="AM76" s="91"/>
      <c r="AN76" s="68">
        <f t="shared" ref="AN76:AN82" si="110">AJ76+AL76-AM76</f>
        <v>7600</v>
      </c>
      <c r="AO76" s="68"/>
      <c r="AP76" s="91">
        <v>2400</v>
      </c>
      <c r="AQ76" s="91"/>
      <c r="AR76" s="68">
        <f t="shared" ref="AR76:AR82" si="111">AN76+AP76-AQ76</f>
        <v>10000</v>
      </c>
      <c r="AS76" s="68"/>
      <c r="AT76" s="91">
        <v>800</v>
      </c>
      <c r="AU76" s="91"/>
      <c r="AV76" s="68">
        <f>AR76+AT76-AU76</f>
        <v>10800</v>
      </c>
      <c r="AW76" s="68"/>
      <c r="AX76" s="91">
        <v>1100</v>
      </c>
      <c r="AY76" s="91"/>
      <c r="AZ76" s="68">
        <f t="shared" ref="AZ76:AZ81" si="112">AV76+AX76-AY76</f>
        <v>11900</v>
      </c>
      <c r="BA76" s="68"/>
      <c r="BB76" s="152">
        <f t="shared" si="103"/>
        <v>11900</v>
      </c>
      <c r="BC76" s="152">
        <f t="shared" si="102"/>
        <v>0</v>
      </c>
      <c r="BD76" s="200">
        <f>BB76</f>
        <v>11900</v>
      </c>
      <c r="BE76" s="200"/>
    </row>
    <row r="77" spans="1:57" x14ac:dyDescent="0.5">
      <c r="A77" s="67">
        <v>64</v>
      </c>
      <c r="B77" s="81" t="s">
        <v>17</v>
      </c>
      <c r="C77" s="67">
        <v>309</v>
      </c>
      <c r="D77" s="170"/>
      <c r="E77" s="170"/>
      <c r="F77" s="91">
        <v>1600</v>
      </c>
      <c r="G77" s="91"/>
      <c r="H77" s="68">
        <f>D77+F77-G77</f>
        <v>1600</v>
      </c>
      <c r="I77" s="68"/>
      <c r="J77" s="91">
        <v>1600</v>
      </c>
      <c r="K77" s="91"/>
      <c r="L77" s="68">
        <f>H77+J77-K77</f>
        <v>3200</v>
      </c>
      <c r="M77" s="68"/>
      <c r="N77" s="91">
        <v>1600</v>
      </c>
      <c r="O77" s="91"/>
      <c r="P77" s="68">
        <f t="shared" si="104"/>
        <v>4800</v>
      </c>
      <c r="Q77" s="68"/>
      <c r="R77" s="91"/>
      <c r="S77" s="91"/>
      <c r="T77" s="68">
        <f t="shared" si="105"/>
        <v>4800</v>
      </c>
      <c r="U77" s="68"/>
      <c r="V77" s="91">
        <v>1600</v>
      </c>
      <c r="W77" s="91"/>
      <c r="X77" s="68">
        <f t="shared" si="106"/>
        <v>6400</v>
      </c>
      <c r="Y77" s="68"/>
      <c r="Z77" s="91">
        <v>1000</v>
      </c>
      <c r="AA77" s="91"/>
      <c r="AB77" s="68">
        <f t="shared" si="107"/>
        <v>7400</v>
      </c>
      <c r="AC77" s="68"/>
      <c r="AD77" s="91"/>
      <c r="AE77" s="91"/>
      <c r="AF77" s="68">
        <f t="shared" si="108"/>
        <v>7400</v>
      </c>
      <c r="AG77" s="68"/>
      <c r="AH77" s="91">
        <v>1600</v>
      </c>
      <c r="AI77" s="91"/>
      <c r="AJ77" s="68">
        <f t="shared" si="109"/>
        <v>9000</v>
      </c>
      <c r="AK77" s="68"/>
      <c r="AL77" s="91"/>
      <c r="AM77" s="91"/>
      <c r="AN77" s="68">
        <f t="shared" si="110"/>
        <v>9000</v>
      </c>
      <c r="AO77" s="68"/>
      <c r="AP77" s="91"/>
      <c r="AQ77" s="91"/>
      <c r="AR77" s="68">
        <f t="shared" si="111"/>
        <v>9000</v>
      </c>
      <c r="AS77" s="68"/>
      <c r="AT77" s="91">
        <v>1600</v>
      </c>
      <c r="AU77" s="91"/>
      <c r="AV77" s="68">
        <f>AR77+AT77-AU77</f>
        <v>10600</v>
      </c>
      <c r="AW77" s="68"/>
      <c r="AX77" s="91"/>
      <c r="AY77" s="91"/>
      <c r="AZ77" s="68">
        <f t="shared" si="112"/>
        <v>10600</v>
      </c>
      <c r="BA77" s="68"/>
      <c r="BB77" s="152">
        <f t="shared" si="103"/>
        <v>10600</v>
      </c>
      <c r="BC77" s="152">
        <f t="shared" si="102"/>
        <v>0</v>
      </c>
      <c r="BD77" s="200">
        <v>10600</v>
      </c>
      <c r="BE77" s="200"/>
    </row>
    <row r="78" spans="1:57" x14ac:dyDescent="0.5">
      <c r="A78" s="67">
        <v>65</v>
      </c>
      <c r="B78" s="81" t="s">
        <v>14</v>
      </c>
      <c r="C78" s="67">
        <v>319</v>
      </c>
      <c r="D78" s="170"/>
      <c r="E78" s="170"/>
      <c r="F78" s="91">
        <v>915</v>
      </c>
      <c r="G78" s="91"/>
      <c r="H78" s="68">
        <f>D78+F78-G78</f>
        <v>915</v>
      </c>
      <c r="I78" s="68"/>
      <c r="J78" s="91">
        <v>302</v>
      </c>
      <c r="K78" s="91"/>
      <c r="L78" s="68">
        <f>H78+J78-K78</f>
        <v>1217</v>
      </c>
      <c r="M78" s="68"/>
      <c r="N78" s="91">
        <v>642</v>
      </c>
      <c r="O78" s="91"/>
      <c r="P78" s="68">
        <f t="shared" si="104"/>
        <v>1859</v>
      </c>
      <c r="Q78" s="68"/>
      <c r="R78" s="91">
        <v>642</v>
      </c>
      <c r="S78" s="91"/>
      <c r="T78" s="68">
        <f t="shared" si="105"/>
        <v>2501</v>
      </c>
      <c r="U78" s="68"/>
      <c r="V78" s="91">
        <v>560</v>
      </c>
      <c r="W78" s="91"/>
      <c r="X78" s="68">
        <f t="shared" si="106"/>
        <v>3061</v>
      </c>
      <c r="Y78" s="68"/>
      <c r="Z78" s="91">
        <v>617</v>
      </c>
      <c r="AA78" s="91"/>
      <c r="AB78" s="68">
        <f t="shared" si="107"/>
        <v>3678</v>
      </c>
      <c r="AC78" s="68"/>
      <c r="AD78" s="91">
        <v>474</v>
      </c>
      <c r="AE78" s="91"/>
      <c r="AF78" s="68">
        <f t="shared" si="108"/>
        <v>4152</v>
      </c>
      <c r="AG78" s="68"/>
      <c r="AH78" s="91">
        <v>450</v>
      </c>
      <c r="AI78" s="91"/>
      <c r="AJ78" s="68">
        <f t="shared" si="109"/>
        <v>4602</v>
      </c>
      <c r="AK78" s="68"/>
      <c r="AL78" s="91">
        <v>135</v>
      </c>
      <c r="AM78" s="91"/>
      <c r="AN78" s="68">
        <f t="shared" si="110"/>
        <v>4737</v>
      </c>
      <c r="AO78" s="68"/>
      <c r="AP78" s="91">
        <v>300</v>
      </c>
      <c r="AQ78" s="91"/>
      <c r="AR78" s="68">
        <f t="shared" si="111"/>
        <v>5037</v>
      </c>
      <c r="AS78" s="68"/>
      <c r="AT78" s="91"/>
      <c r="AU78" s="91"/>
      <c r="AV78" s="68">
        <f>BD78+AT78-AU78</f>
        <v>5037</v>
      </c>
      <c r="AW78" s="68"/>
      <c r="AX78" s="91"/>
      <c r="AY78" s="91"/>
      <c r="AZ78" s="68">
        <f t="shared" si="112"/>
        <v>5037</v>
      </c>
      <c r="BA78" s="68"/>
      <c r="BB78" s="152">
        <f t="shared" si="103"/>
        <v>5037</v>
      </c>
      <c r="BC78" s="152">
        <f t="shared" si="102"/>
        <v>0</v>
      </c>
      <c r="BD78" s="200">
        <f t="shared" ref="BD78:BD82" si="113">AR78</f>
        <v>5037</v>
      </c>
      <c r="BE78" s="200"/>
    </row>
    <row r="79" spans="1:57" s="182" customFormat="1" x14ac:dyDescent="0.5">
      <c r="A79" s="67">
        <v>66</v>
      </c>
      <c r="B79" s="193" t="s">
        <v>220</v>
      </c>
      <c r="C79" s="67"/>
      <c r="D79" s="170"/>
      <c r="E79" s="170"/>
      <c r="F79" s="91"/>
      <c r="G79" s="91"/>
      <c r="H79" s="68"/>
      <c r="I79" s="68"/>
      <c r="J79" s="91"/>
      <c r="K79" s="91"/>
      <c r="L79" s="68"/>
      <c r="M79" s="68"/>
      <c r="N79" s="91"/>
      <c r="O79" s="91"/>
      <c r="P79" s="68"/>
      <c r="Q79" s="68"/>
      <c r="R79" s="91"/>
      <c r="S79" s="91"/>
      <c r="T79" s="68"/>
      <c r="U79" s="68"/>
      <c r="V79" s="91"/>
      <c r="W79" s="91"/>
      <c r="X79" s="68"/>
      <c r="Y79" s="68"/>
      <c r="Z79" s="91"/>
      <c r="AA79" s="91"/>
      <c r="AB79" s="68"/>
      <c r="AC79" s="68"/>
      <c r="AD79" s="91">
        <v>281</v>
      </c>
      <c r="AE79" s="91"/>
      <c r="AF79" s="68">
        <f t="shared" si="108"/>
        <v>281</v>
      </c>
      <c r="AG79" s="68"/>
      <c r="AH79" s="91"/>
      <c r="AI79" s="91"/>
      <c r="AJ79" s="68">
        <f t="shared" si="109"/>
        <v>281</v>
      </c>
      <c r="AK79" s="68"/>
      <c r="AL79" s="91"/>
      <c r="AM79" s="91"/>
      <c r="AN79" s="68">
        <f t="shared" si="110"/>
        <v>281</v>
      </c>
      <c r="AO79" s="68"/>
      <c r="AP79" s="91"/>
      <c r="AQ79" s="91"/>
      <c r="AR79" s="68">
        <f t="shared" si="111"/>
        <v>281</v>
      </c>
      <c r="AS79" s="68"/>
      <c r="AT79" s="91"/>
      <c r="AU79" s="91"/>
      <c r="AV79" s="68">
        <f>BD79+AT79-AU79</f>
        <v>281</v>
      </c>
      <c r="AW79" s="68"/>
      <c r="AX79" s="91"/>
      <c r="AY79" s="91"/>
      <c r="AZ79" s="68">
        <f t="shared" si="112"/>
        <v>281</v>
      </c>
      <c r="BA79" s="68"/>
      <c r="BB79" s="152">
        <f t="shared" si="103"/>
        <v>281</v>
      </c>
      <c r="BC79" s="152">
        <f t="shared" si="102"/>
        <v>0</v>
      </c>
      <c r="BD79" s="200">
        <f t="shared" si="113"/>
        <v>281</v>
      </c>
      <c r="BE79" s="200"/>
    </row>
    <row r="80" spans="1:57" x14ac:dyDescent="0.5">
      <c r="A80" s="67">
        <v>67</v>
      </c>
      <c r="B80" s="81" t="s">
        <v>72</v>
      </c>
      <c r="C80" s="67">
        <v>345</v>
      </c>
      <c r="D80" s="170"/>
      <c r="E80" s="170"/>
      <c r="F80" s="91">
        <v>262.79000000000002</v>
      </c>
      <c r="G80" s="91"/>
      <c r="H80" s="68">
        <f>D80+F80-G80</f>
        <v>262.79000000000002</v>
      </c>
      <c r="I80" s="68"/>
      <c r="J80" s="91">
        <v>266.39999999999998</v>
      </c>
      <c r="K80" s="91"/>
      <c r="L80" s="68">
        <f>H80+J80-K80</f>
        <v>529.19000000000005</v>
      </c>
      <c r="M80" s="68"/>
      <c r="N80" s="91">
        <v>354.47</v>
      </c>
      <c r="O80" s="91"/>
      <c r="P80" s="68">
        <f t="shared" si="104"/>
        <v>883.66000000000008</v>
      </c>
      <c r="Q80" s="68"/>
      <c r="R80" s="91">
        <v>438.88</v>
      </c>
      <c r="S80" s="91"/>
      <c r="T80" s="68">
        <f t="shared" si="105"/>
        <v>1322.54</v>
      </c>
      <c r="U80" s="68"/>
      <c r="V80" s="91">
        <v>370.99</v>
      </c>
      <c r="W80" s="91"/>
      <c r="X80" s="68">
        <f t="shared" si="106"/>
        <v>1693.53</v>
      </c>
      <c r="Y80" s="68"/>
      <c r="Z80" s="91">
        <v>363.37</v>
      </c>
      <c r="AA80" s="91"/>
      <c r="AB80" s="68">
        <f t="shared" si="107"/>
        <v>2056.9</v>
      </c>
      <c r="AC80" s="68"/>
      <c r="AD80" s="91">
        <v>277.7</v>
      </c>
      <c r="AE80" s="91"/>
      <c r="AF80" s="68">
        <f t="shared" si="108"/>
        <v>2334.6</v>
      </c>
      <c r="AG80" s="68"/>
      <c r="AH80" s="91">
        <v>1079.94</v>
      </c>
      <c r="AI80" s="91"/>
      <c r="AJ80" s="68">
        <f t="shared" si="109"/>
        <v>3414.54</v>
      </c>
      <c r="AK80" s="68"/>
      <c r="AL80" s="91">
        <v>341.73</v>
      </c>
      <c r="AM80" s="91"/>
      <c r="AN80" s="68">
        <f t="shared" si="110"/>
        <v>3756.27</v>
      </c>
      <c r="AO80" s="68"/>
      <c r="AP80" s="91">
        <v>399.78</v>
      </c>
      <c r="AQ80" s="91"/>
      <c r="AR80" s="68">
        <f t="shared" si="111"/>
        <v>4156.05</v>
      </c>
      <c r="AS80" s="68"/>
      <c r="AT80" s="91">
        <v>413.01</v>
      </c>
      <c r="AU80" s="91"/>
      <c r="AV80" s="68">
        <f>AR80+AT80-AU80</f>
        <v>4569.0600000000004</v>
      </c>
      <c r="AW80" s="68"/>
      <c r="AX80" s="91">
        <v>360.13</v>
      </c>
      <c r="AY80" s="91"/>
      <c r="AZ80" s="68">
        <f t="shared" si="112"/>
        <v>4929.1900000000005</v>
      </c>
      <c r="BA80" s="68"/>
      <c r="BB80" s="152">
        <f t="shared" si="103"/>
        <v>4929.1900000000005</v>
      </c>
      <c r="BC80" s="152">
        <f t="shared" si="102"/>
        <v>0</v>
      </c>
      <c r="BD80" s="200">
        <f>BB80</f>
        <v>4929.1900000000005</v>
      </c>
      <c r="BE80" s="200"/>
    </row>
    <row r="81" spans="1:57" x14ac:dyDescent="0.5">
      <c r="A81" s="67">
        <v>68</v>
      </c>
      <c r="B81" s="81" t="s">
        <v>221</v>
      </c>
      <c r="C81" s="67"/>
      <c r="D81" s="170"/>
      <c r="E81" s="170"/>
      <c r="F81" s="91"/>
      <c r="G81" s="91"/>
      <c r="H81" s="68"/>
      <c r="I81" s="68"/>
      <c r="J81" s="91"/>
      <c r="K81" s="91"/>
      <c r="L81" s="68"/>
      <c r="M81" s="68"/>
      <c r="N81" s="91">
        <v>33500</v>
      </c>
      <c r="O81" s="91"/>
      <c r="P81" s="68">
        <f t="shared" si="104"/>
        <v>33500</v>
      </c>
      <c r="Q81" s="68"/>
      <c r="R81" s="91">
        <v>595</v>
      </c>
      <c r="S81" s="91"/>
      <c r="T81" s="68">
        <f t="shared" si="105"/>
        <v>34095</v>
      </c>
      <c r="U81" s="68"/>
      <c r="V81" s="91"/>
      <c r="W81" s="91"/>
      <c r="X81" s="68">
        <f t="shared" si="106"/>
        <v>34095</v>
      </c>
      <c r="Y81" s="68"/>
      <c r="Z81" s="91"/>
      <c r="AA81" s="91"/>
      <c r="AB81" s="68">
        <f t="shared" si="107"/>
        <v>34095</v>
      </c>
      <c r="AC81" s="68"/>
      <c r="AD81" s="91"/>
      <c r="AE81" s="91"/>
      <c r="AF81" s="68">
        <f t="shared" si="108"/>
        <v>34095</v>
      </c>
      <c r="AG81" s="68"/>
      <c r="AH81" s="91"/>
      <c r="AI81" s="91"/>
      <c r="AJ81" s="68">
        <f t="shared" si="109"/>
        <v>34095</v>
      </c>
      <c r="AK81" s="68"/>
      <c r="AL81" s="91">
        <v>2500</v>
      </c>
      <c r="AM81" s="91"/>
      <c r="AN81" s="68">
        <f t="shared" si="110"/>
        <v>36595</v>
      </c>
      <c r="AO81" s="68"/>
      <c r="AP81" s="91"/>
      <c r="AQ81" s="91"/>
      <c r="AR81" s="68">
        <f t="shared" si="111"/>
        <v>36595</v>
      </c>
      <c r="AS81" s="68"/>
      <c r="AT81" s="91"/>
      <c r="AU81" s="91"/>
      <c r="AV81" s="68">
        <f t="shared" ref="AV81:AV93" si="114">BD81+AT81-AU81</f>
        <v>36595</v>
      </c>
      <c r="AW81" s="68"/>
      <c r="AX81" s="91"/>
      <c r="AY81" s="91"/>
      <c r="AZ81" s="68">
        <f t="shared" si="112"/>
        <v>36595</v>
      </c>
      <c r="BA81" s="68"/>
      <c r="BB81" s="152">
        <f t="shared" si="103"/>
        <v>36595</v>
      </c>
      <c r="BC81" s="152">
        <f t="shared" si="102"/>
        <v>0</v>
      </c>
      <c r="BD81" s="200">
        <f t="shared" si="113"/>
        <v>36595</v>
      </c>
      <c r="BE81" s="200"/>
    </row>
    <row r="82" spans="1:57" x14ac:dyDescent="0.5">
      <c r="A82" s="67">
        <v>69</v>
      </c>
      <c r="B82" s="81" t="s">
        <v>73</v>
      </c>
      <c r="C82" s="67">
        <v>325</v>
      </c>
      <c r="D82" s="170"/>
      <c r="E82" s="170"/>
      <c r="F82" s="91"/>
      <c r="G82" s="91"/>
      <c r="H82" s="68">
        <f t="shared" ref="H82:H106" si="115">D82+F82-G82</f>
        <v>0</v>
      </c>
      <c r="I82" s="68"/>
      <c r="J82" s="91"/>
      <c r="K82" s="91"/>
      <c r="L82" s="68">
        <f t="shared" ref="L82:L106" si="116">H82+J82-K82</f>
        <v>0</v>
      </c>
      <c r="M82" s="68"/>
      <c r="N82" s="91"/>
      <c r="O82" s="91"/>
      <c r="P82" s="68">
        <f t="shared" si="104"/>
        <v>0</v>
      </c>
      <c r="Q82" s="68"/>
      <c r="R82" s="91"/>
      <c r="S82" s="91"/>
      <c r="T82" s="68">
        <f t="shared" si="105"/>
        <v>0</v>
      </c>
      <c r="U82" s="68"/>
      <c r="V82" s="91">
        <v>1000</v>
      </c>
      <c r="W82" s="91"/>
      <c r="X82" s="68">
        <f t="shared" si="106"/>
        <v>1000</v>
      </c>
      <c r="Y82" s="68"/>
      <c r="Z82" s="91"/>
      <c r="AA82" s="91"/>
      <c r="AB82" s="68">
        <f t="shared" si="107"/>
        <v>1000</v>
      </c>
      <c r="AC82" s="68"/>
      <c r="AD82" s="91"/>
      <c r="AE82" s="91"/>
      <c r="AF82" s="68">
        <f t="shared" si="108"/>
        <v>1000</v>
      </c>
      <c r="AG82" s="68"/>
      <c r="AH82" s="91">
        <v>4000</v>
      </c>
      <c r="AI82" s="91"/>
      <c r="AJ82" s="68">
        <f t="shared" si="109"/>
        <v>5000</v>
      </c>
      <c r="AK82" s="68"/>
      <c r="AL82" s="91"/>
      <c r="AM82" s="91"/>
      <c r="AN82" s="68">
        <f t="shared" si="110"/>
        <v>5000</v>
      </c>
      <c r="AO82" s="68"/>
      <c r="AP82" s="91"/>
      <c r="AQ82" s="91"/>
      <c r="AR82" s="68">
        <f t="shared" si="111"/>
        <v>5000</v>
      </c>
      <c r="AS82" s="68"/>
      <c r="AT82" s="91"/>
      <c r="AU82" s="91"/>
      <c r="AV82" s="68">
        <f t="shared" si="114"/>
        <v>5000</v>
      </c>
      <c r="AW82" s="68"/>
      <c r="AX82" s="91"/>
      <c r="AY82" s="91"/>
      <c r="AZ82" s="68">
        <f t="shared" ref="AZ82:AZ83" si="117">AV82+AX82-AY82</f>
        <v>5000</v>
      </c>
      <c r="BA82" s="68"/>
      <c r="BB82" s="152">
        <f t="shared" si="103"/>
        <v>5000</v>
      </c>
      <c r="BC82" s="152">
        <f t="shared" si="102"/>
        <v>0</v>
      </c>
      <c r="BD82" s="200">
        <f t="shared" si="113"/>
        <v>5000</v>
      </c>
      <c r="BE82" s="200"/>
    </row>
    <row r="83" spans="1:57" x14ac:dyDescent="0.5">
      <c r="A83" s="67">
        <v>70</v>
      </c>
      <c r="B83" s="81" t="s">
        <v>199</v>
      </c>
      <c r="C83" s="67"/>
      <c r="D83" s="170"/>
      <c r="E83" s="170"/>
      <c r="F83" s="91"/>
      <c r="G83" s="91"/>
      <c r="H83" s="68">
        <f>D83+F83-G83</f>
        <v>0</v>
      </c>
      <c r="I83" s="68"/>
      <c r="J83" s="91"/>
      <c r="K83" s="91"/>
      <c r="L83" s="68">
        <f>H83+J83-K83</f>
        <v>0</v>
      </c>
      <c r="M83" s="68"/>
      <c r="N83" s="91"/>
      <c r="O83" s="91"/>
      <c r="P83" s="68">
        <f>L83+N83-O83</f>
        <v>0</v>
      </c>
      <c r="Q83" s="68"/>
      <c r="R83" s="91"/>
      <c r="S83" s="91"/>
      <c r="T83" s="68">
        <f>P83+R83-S83</f>
        <v>0</v>
      </c>
      <c r="U83" s="68"/>
      <c r="V83" s="91"/>
      <c r="W83" s="91"/>
      <c r="X83" s="68">
        <f>T83+V83-W83</f>
        <v>0</v>
      </c>
      <c r="Y83" s="68"/>
      <c r="Z83" s="91"/>
      <c r="AA83" s="91"/>
      <c r="AB83" s="68">
        <f>X83+Z83-AA83</f>
        <v>0</v>
      </c>
      <c r="AC83" s="68"/>
      <c r="AD83" s="91"/>
      <c r="AE83" s="91"/>
      <c r="AF83" s="68">
        <f>AB83+AD83-AE83</f>
        <v>0</v>
      </c>
      <c r="AG83" s="68"/>
      <c r="AH83" s="91"/>
      <c r="AI83" s="91"/>
      <c r="AJ83" s="68">
        <f>AF83+AH83-AI83</f>
        <v>0</v>
      </c>
      <c r="AK83" s="68"/>
      <c r="AL83" s="91"/>
      <c r="AM83" s="91"/>
      <c r="AN83" s="68">
        <f>AJ83+AL83-AM83</f>
        <v>0</v>
      </c>
      <c r="AO83" s="68"/>
      <c r="AP83" s="91"/>
      <c r="AQ83" s="91"/>
      <c r="AR83" s="68">
        <f>AN83+AP83-AQ83</f>
        <v>0</v>
      </c>
      <c r="AS83" s="68"/>
      <c r="AT83" s="91"/>
      <c r="AU83" s="91"/>
      <c r="AV83" s="68">
        <f t="shared" si="114"/>
        <v>0</v>
      </c>
      <c r="AW83" s="68"/>
      <c r="AX83" s="91"/>
      <c r="AY83" s="91"/>
      <c r="AZ83" s="68">
        <f t="shared" si="117"/>
        <v>0</v>
      </c>
      <c r="BA83" s="68"/>
      <c r="BB83" s="152">
        <f t="shared" si="34"/>
        <v>0</v>
      </c>
      <c r="BC83" s="152">
        <f t="shared" si="102"/>
        <v>0</v>
      </c>
      <c r="BD83" s="200">
        <f>AP83+AR83-AS83</f>
        <v>0</v>
      </c>
      <c r="BE83" s="200"/>
    </row>
    <row r="84" spans="1:57" x14ac:dyDescent="0.5">
      <c r="A84" s="67">
        <v>71</v>
      </c>
      <c r="B84" s="81" t="s">
        <v>15</v>
      </c>
      <c r="C84" s="67">
        <v>327</v>
      </c>
      <c r="D84" s="170"/>
      <c r="E84" s="170"/>
      <c r="F84" s="91"/>
      <c r="G84" s="91"/>
      <c r="H84" s="68">
        <f t="shared" si="115"/>
        <v>0</v>
      </c>
      <c r="I84" s="68"/>
      <c r="J84" s="91"/>
      <c r="K84" s="91"/>
      <c r="L84" s="68">
        <f t="shared" si="116"/>
        <v>0</v>
      </c>
      <c r="M84" s="68"/>
      <c r="N84" s="91">
        <v>230</v>
      </c>
      <c r="O84" s="91"/>
      <c r="P84" s="68">
        <f t="shared" si="104"/>
        <v>230</v>
      </c>
      <c r="Q84" s="68"/>
      <c r="R84" s="91">
        <v>507</v>
      </c>
      <c r="S84" s="91"/>
      <c r="T84" s="68">
        <f t="shared" si="105"/>
        <v>737</v>
      </c>
      <c r="U84" s="68"/>
      <c r="V84" s="91"/>
      <c r="W84" s="91"/>
      <c r="X84" s="68">
        <f t="shared" si="106"/>
        <v>737</v>
      </c>
      <c r="Y84" s="68"/>
      <c r="Z84" s="91">
        <v>180</v>
      </c>
      <c r="AA84" s="91"/>
      <c r="AB84" s="68">
        <f t="shared" si="107"/>
        <v>917</v>
      </c>
      <c r="AC84" s="68"/>
      <c r="AD84" s="91">
        <v>445</v>
      </c>
      <c r="AE84" s="91"/>
      <c r="AF84" s="68">
        <f t="shared" si="108"/>
        <v>1362</v>
      </c>
      <c r="AG84" s="68"/>
      <c r="AH84" s="91">
        <v>210</v>
      </c>
      <c r="AI84" s="91"/>
      <c r="AJ84" s="68">
        <f t="shared" ref="AJ84:AJ90" si="118">AF84+AH84-AI84</f>
        <v>1572</v>
      </c>
      <c r="AK84" s="68"/>
      <c r="AL84" s="91">
        <v>1978</v>
      </c>
      <c r="AM84" s="91"/>
      <c r="AN84" s="68">
        <f t="shared" ref="AN84:AN90" si="119">AJ84+AL84-AM84</f>
        <v>3550</v>
      </c>
      <c r="AO84" s="68"/>
      <c r="AP84" s="91"/>
      <c r="AQ84" s="91"/>
      <c r="AR84" s="68">
        <f t="shared" ref="AR84:AR90" si="120">AN84+AP84-AQ84</f>
        <v>3550</v>
      </c>
      <c r="AS84" s="68"/>
      <c r="AT84" s="91"/>
      <c r="AU84" s="91"/>
      <c r="AV84" s="68">
        <f>AR84+AT84-AU84</f>
        <v>3550</v>
      </c>
      <c r="AW84" s="68"/>
      <c r="AX84" s="91">
        <v>205</v>
      </c>
      <c r="AY84" s="91"/>
      <c r="AZ84" s="68">
        <f>AV84+AX84-AY84</f>
        <v>3755</v>
      </c>
      <c r="BA84" s="68"/>
      <c r="BB84" s="152">
        <f>+F84+J84+N84+R84+V84+Z84+AD84+AH84+AL84+AP84+AT84+AX84</f>
        <v>3755</v>
      </c>
      <c r="BC84" s="152">
        <f t="shared" si="102"/>
        <v>0</v>
      </c>
      <c r="BD84" s="200">
        <f>BB84</f>
        <v>3755</v>
      </c>
      <c r="BE84" s="200"/>
    </row>
    <row r="85" spans="1:57" x14ac:dyDescent="0.5">
      <c r="A85" s="67">
        <v>72</v>
      </c>
      <c r="B85" s="81" t="s">
        <v>226</v>
      </c>
      <c r="C85" s="67">
        <v>329</v>
      </c>
      <c r="D85" s="170"/>
      <c r="E85" s="170"/>
      <c r="F85" s="91"/>
      <c r="G85" s="91"/>
      <c r="H85" s="68">
        <f t="shared" si="115"/>
        <v>0</v>
      </c>
      <c r="I85" s="68"/>
      <c r="J85" s="91"/>
      <c r="K85" s="91"/>
      <c r="L85" s="68">
        <f t="shared" si="116"/>
        <v>0</v>
      </c>
      <c r="M85" s="68"/>
      <c r="N85" s="91"/>
      <c r="O85" s="91"/>
      <c r="P85" s="68">
        <f t="shared" si="104"/>
        <v>0</v>
      </c>
      <c r="Q85" s="68"/>
      <c r="R85" s="91"/>
      <c r="S85" s="91"/>
      <c r="T85" s="68">
        <f t="shared" si="105"/>
        <v>0</v>
      </c>
      <c r="U85" s="68"/>
      <c r="V85" s="91"/>
      <c r="W85" s="91"/>
      <c r="X85" s="68">
        <f t="shared" si="106"/>
        <v>0</v>
      </c>
      <c r="Y85" s="68"/>
      <c r="Z85" s="91"/>
      <c r="AA85" s="91"/>
      <c r="AB85" s="68">
        <f t="shared" si="107"/>
        <v>0</v>
      </c>
      <c r="AC85" s="68"/>
      <c r="AD85" s="91"/>
      <c r="AE85" s="91"/>
      <c r="AF85" s="68">
        <f t="shared" si="108"/>
        <v>0</v>
      </c>
      <c r="AG85" s="68"/>
      <c r="AH85" s="91"/>
      <c r="AI85" s="91"/>
      <c r="AJ85" s="68">
        <f t="shared" si="118"/>
        <v>0</v>
      </c>
      <c r="AK85" s="68"/>
      <c r="AL85" s="91"/>
      <c r="AM85" s="91"/>
      <c r="AN85" s="68">
        <f t="shared" si="119"/>
        <v>0</v>
      </c>
      <c r="AO85" s="68"/>
      <c r="AP85" s="91"/>
      <c r="AQ85" s="91"/>
      <c r="AR85" s="68">
        <f t="shared" si="120"/>
        <v>0</v>
      </c>
      <c r="AS85" s="68"/>
      <c r="AT85" s="91"/>
      <c r="AU85" s="91"/>
      <c r="AV85" s="68">
        <f t="shared" si="114"/>
        <v>0</v>
      </c>
      <c r="AW85" s="68"/>
      <c r="AX85" s="91"/>
      <c r="AY85" s="91"/>
      <c r="AZ85" s="68">
        <f t="shared" ref="AZ85:AZ87" si="121">BH85+AX85-AY85</f>
        <v>0</v>
      </c>
      <c r="BA85" s="68"/>
      <c r="BB85" s="152">
        <f t="shared" ref="BB85" si="122">+F85+J85+N85+R85+V85+Z85+AD85+AH85+AL85+AP85+AT85+AX85</f>
        <v>0</v>
      </c>
      <c r="BC85" s="152">
        <f t="shared" si="102"/>
        <v>0</v>
      </c>
      <c r="BD85" s="200">
        <f t="shared" ref="BD85:BD87" si="123">AR85</f>
        <v>0</v>
      </c>
      <c r="BE85" s="200"/>
    </row>
    <row r="86" spans="1:57" x14ac:dyDescent="0.5">
      <c r="A86" s="67">
        <v>73</v>
      </c>
      <c r="B86" s="81" t="s">
        <v>222</v>
      </c>
      <c r="C86" s="67">
        <v>331</v>
      </c>
      <c r="D86" s="170"/>
      <c r="E86" s="170"/>
      <c r="F86" s="91">
        <v>564</v>
      </c>
      <c r="G86" s="91"/>
      <c r="H86" s="68">
        <f t="shared" si="115"/>
        <v>564</v>
      </c>
      <c r="I86" s="68"/>
      <c r="J86" s="91">
        <v>564</v>
      </c>
      <c r="K86" s="91"/>
      <c r="L86" s="68">
        <f t="shared" si="116"/>
        <v>1128</v>
      </c>
      <c r="M86" s="68"/>
      <c r="N86" s="91">
        <v>564</v>
      </c>
      <c r="O86" s="91"/>
      <c r="P86" s="68">
        <f t="shared" si="104"/>
        <v>1692</v>
      </c>
      <c r="Q86" s="68"/>
      <c r="R86" s="91">
        <v>564</v>
      </c>
      <c r="S86" s="91"/>
      <c r="T86" s="68">
        <f t="shared" si="105"/>
        <v>2256</v>
      </c>
      <c r="U86" s="68"/>
      <c r="V86" s="91">
        <v>564</v>
      </c>
      <c r="W86" s="91"/>
      <c r="X86" s="68">
        <f t="shared" si="106"/>
        <v>2820</v>
      </c>
      <c r="Y86" s="68"/>
      <c r="Z86" s="91">
        <v>564</v>
      </c>
      <c r="AA86" s="91"/>
      <c r="AB86" s="68">
        <f t="shared" si="107"/>
        <v>3384</v>
      </c>
      <c r="AC86" s="68"/>
      <c r="AD86" s="91">
        <v>564</v>
      </c>
      <c r="AE86" s="91"/>
      <c r="AF86" s="68">
        <f t="shared" si="108"/>
        <v>3948</v>
      </c>
      <c r="AG86" s="68"/>
      <c r="AH86" s="91"/>
      <c r="AI86" s="91"/>
      <c r="AJ86" s="68">
        <f t="shared" si="118"/>
        <v>3948</v>
      </c>
      <c r="AK86" s="68"/>
      <c r="AL86" s="91">
        <v>564</v>
      </c>
      <c r="AM86" s="91"/>
      <c r="AN86" s="68">
        <f t="shared" si="119"/>
        <v>4512</v>
      </c>
      <c r="AO86" s="68"/>
      <c r="AP86" s="91">
        <v>1128</v>
      </c>
      <c r="AQ86" s="91"/>
      <c r="AR86" s="68">
        <f t="shared" si="120"/>
        <v>5640</v>
      </c>
      <c r="AS86" s="68"/>
      <c r="AT86" s="91"/>
      <c r="AU86" s="91"/>
      <c r="AV86" s="68">
        <f>AR86+AT86-AU86</f>
        <v>5640</v>
      </c>
      <c r="AW86" s="68"/>
      <c r="AX86" s="91">
        <v>1128</v>
      </c>
      <c r="AY86" s="91"/>
      <c r="AZ86" s="68">
        <f>AV86+AX86-AY86</f>
        <v>6768</v>
      </c>
      <c r="BA86" s="68"/>
      <c r="BB86" s="152">
        <f>+F86+J86+N86+R86+V86+Z86+AD86+AH86+AL86+AP86+AT86+AX86</f>
        <v>6768</v>
      </c>
      <c r="BC86" s="152">
        <f t="shared" si="102"/>
        <v>0</v>
      </c>
      <c r="BD86" s="200">
        <f>BB86</f>
        <v>6768</v>
      </c>
      <c r="BE86" s="200"/>
    </row>
    <row r="87" spans="1:57" x14ac:dyDescent="0.5">
      <c r="A87" s="67">
        <v>74</v>
      </c>
      <c r="B87" s="81" t="s">
        <v>154</v>
      </c>
      <c r="C87" s="67"/>
      <c r="D87" s="170">
        <f>'งบทดลองส่งรายเดือนปี59-60'!CR78+'งบทดลองส่งรายเดือนปี59-60'!CT78-'งบทดลองส่งรายเดือนปี59-60'!CU78</f>
        <v>0</v>
      </c>
      <c r="E87" s="170"/>
      <c r="F87" s="91"/>
      <c r="G87" s="91"/>
      <c r="H87" s="68">
        <f t="shared" si="115"/>
        <v>0</v>
      </c>
      <c r="I87" s="68"/>
      <c r="J87" s="91"/>
      <c r="K87" s="91"/>
      <c r="L87" s="68">
        <f t="shared" si="116"/>
        <v>0</v>
      </c>
      <c r="M87" s="68"/>
      <c r="N87" s="91"/>
      <c r="O87" s="91"/>
      <c r="P87" s="68">
        <f t="shared" si="104"/>
        <v>0</v>
      </c>
      <c r="Q87" s="68"/>
      <c r="R87" s="91"/>
      <c r="S87" s="91"/>
      <c r="T87" s="68">
        <f t="shared" si="105"/>
        <v>0</v>
      </c>
      <c r="U87" s="68"/>
      <c r="V87" s="91"/>
      <c r="W87" s="91"/>
      <c r="X87" s="68">
        <f t="shared" si="106"/>
        <v>0</v>
      </c>
      <c r="Y87" s="68"/>
      <c r="Z87" s="91"/>
      <c r="AA87" s="91"/>
      <c r="AB87" s="68">
        <f t="shared" si="107"/>
        <v>0</v>
      </c>
      <c r="AC87" s="68"/>
      <c r="AD87" s="91"/>
      <c r="AE87" s="91"/>
      <c r="AF87" s="68">
        <f t="shared" si="108"/>
        <v>0</v>
      </c>
      <c r="AG87" s="68"/>
      <c r="AH87" s="91"/>
      <c r="AI87" s="91"/>
      <c r="AJ87" s="68">
        <f t="shared" si="118"/>
        <v>0</v>
      </c>
      <c r="AK87" s="68"/>
      <c r="AL87" s="91"/>
      <c r="AM87" s="91"/>
      <c r="AN87" s="68">
        <f t="shared" si="119"/>
        <v>0</v>
      </c>
      <c r="AO87" s="68"/>
      <c r="AP87" s="91"/>
      <c r="AQ87" s="91"/>
      <c r="AR87" s="68">
        <f t="shared" si="120"/>
        <v>0</v>
      </c>
      <c r="AS87" s="68"/>
      <c r="AT87" s="91"/>
      <c r="AU87" s="91"/>
      <c r="AV87" s="68">
        <f t="shared" si="114"/>
        <v>0</v>
      </c>
      <c r="AW87" s="68"/>
      <c r="AX87" s="91"/>
      <c r="AY87" s="91"/>
      <c r="AZ87" s="68">
        <f t="shared" si="121"/>
        <v>0</v>
      </c>
      <c r="BA87" s="68"/>
      <c r="BB87" s="152">
        <f t="shared" si="34"/>
        <v>0</v>
      </c>
      <c r="BC87" s="152">
        <f t="shared" si="102"/>
        <v>0</v>
      </c>
      <c r="BD87" s="200">
        <f t="shared" si="123"/>
        <v>0</v>
      </c>
      <c r="BE87" s="200"/>
    </row>
    <row r="88" spans="1:57" x14ac:dyDescent="0.5">
      <c r="A88" s="67">
        <v>75</v>
      </c>
      <c r="B88" s="81" t="s">
        <v>227</v>
      </c>
      <c r="C88" s="67"/>
      <c r="D88" s="170">
        <f>'งบทดลองส่งรายเดือนปี59-60'!CR79+'งบทดลองส่งรายเดือนปี59-60'!CT79-'งบทดลองส่งรายเดือนปี59-60'!CU79</f>
        <v>0</v>
      </c>
      <c r="E88" s="170"/>
      <c r="F88" s="91"/>
      <c r="G88" s="91"/>
      <c r="H88" s="68">
        <f t="shared" si="115"/>
        <v>0</v>
      </c>
      <c r="I88" s="68"/>
      <c r="J88" s="91"/>
      <c r="K88" s="91"/>
      <c r="L88" s="68">
        <f t="shared" si="116"/>
        <v>0</v>
      </c>
      <c r="M88" s="68"/>
      <c r="N88" s="91"/>
      <c r="O88" s="91"/>
      <c r="P88" s="68">
        <f t="shared" si="104"/>
        <v>0</v>
      </c>
      <c r="Q88" s="68"/>
      <c r="R88" s="91"/>
      <c r="S88" s="91"/>
      <c r="T88" s="68">
        <f t="shared" si="105"/>
        <v>0</v>
      </c>
      <c r="U88" s="68"/>
      <c r="V88" s="91"/>
      <c r="W88" s="91"/>
      <c r="X88" s="68">
        <f t="shared" si="106"/>
        <v>0</v>
      </c>
      <c r="Y88" s="68"/>
      <c r="Z88" s="91"/>
      <c r="AA88" s="91"/>
      <c r="AB88" s="68">
        <f t="shared" si="107"/>
        <v>0</v>
      </c>
      <c r="AC88" s="68"/>
      <c r="AD88" s="91"/>
      <c r="AE88" s="91"/>
      <c r="AF88" s="68">
        <f t="shared" si="108"/>
        <v>0</v>
      </c>
      <c r="AG88" s="68"/>
      <c r="AH88" s="91"/>
      <c r="AI88" s="91"/>
      <c r="AJ88" s="68">
        <f t="shared" si="118"/>
        <v>0</v>
      </c>
      <c r="AK88" s="68"/>
      <c r="AL88" s="91"/>
      <c r="AM88" s="91"/>
      <c r="AN88" s="68">
        <f t="shared" si="119"/>
        <v>0</v>
      </c>
      <c r="AO88" s="68"/>
      <c r="AP88" s="91">
        <v>408.8</v>
      </c>
      <c r="AQ88" s="91"/>
      <c r="AR88" s="68">
        <f t="shared" si="120"/>
        <v>408.8</v>
      </c>
      <c r="AS88" s="68"/>
      <c r="AT88" s="91"/>
      <c r="AU88" s="91"/>
      <c r="AV88" s="68">
        <f t="shared" si="114"/>
        <v>408.8</v>
      </c>
      <c r="AW88" s="68"/>
      <c r="AX88" s="91"/>
      <c r="AY88" s="91"/>
      <c r="AZ88" s="68">
        <f>AV88+AX88-AY88</f>
        <v>408.8</v>
      </c>
      <c r="BA88" s="68"/>
      <c r="BB88" s="152">
        <f t="shared" si="34"/>
        <v>408.8</v>
      </c>
      <c r="BC88" s="152">
        <f t="shared" si="102"/>
        <v>0</v>
      </c>
      <c r="BD88" s="200">
        <f>AR88</f>
        <v>408.8</v>
      </c>
      <c r="BE88" s="200"/>
    </row>
    <row r="89" spans="1:57" x14ac:dyDescent="0.5">
      <c r="A89" s="67">
        <v>76</v>
      </c>
      <c r="B89" s="81" t="s">
        <v>24</v>
      </c>
      <c r="C89" s="67">
        <v>333</v>
      </c>
      <c r="D89" s="170"/>
      <c r="E89" s="170"/>
      <c r="F89" s="91"/>
      <c r="G89" s="91"/>
      <c r="H89" s="68">
        <f t="shared" si="115"/>
        <v>0</v>
      </c>
      <c r="I89" s="68"/>
      <c r="J89" s="91"/>
      <c r="K89" s="91"/>
      <c r="L89" s="68">
        <f t="shared" si="116"/>
        <v>0</v>
      </c>
      <c r="M89" s="68"/>
      <c r="N89" s="91">
        <v>248</v>
      </c>
      <c r="O89" s="91"/>
      <c r="P89" s="68">
        <f t="shared" si="104"/>
        <v>248</v>
      </c>
      <c r="Q89" s="68"/>
      <c r="R89" s="91"/>
      <c r="S89" s="91"/>
      <c r="T89" s="68">
        <f t="shared" si="105"/>
        <v>248</v>
      </c>
      <c r="U89" s="68"/>
      <c r="V89" s="91"/>
      <c r="W89" s="91"/>
      <c r="X89" s="68">
        <f t="shared" si="106"/>
        <v>248</v>
      </c>
      <c r="Y89" s="68"/>
      <c r="Z89" s="91"/>
      <c r="AA89" s="91"/>
      <c r="AB89" s="68">
        <f t="shared" si="107"/>
        <v>248</v>
      </c>
      <c r="AC89" s="68"/>
      <c r="AD89" s="91"/>
      <c r="AE89" s="91"/>
      <c r="AF89" s="68">
        <f t="shared" si="108"/>
        <v>248</v>
      </c>
      <c r="AG89" s="68"/>
      <c r="AH89" s="91"/>
      <c r="AI89" s="91"/>
      <c r="AJ89" s="68">
        <f t="shared" si="118"/>
        <v>248</v>
      </c>
      <c r="AK89" s="68"/>
      <c r="AL89" s="91"/>
      <c r="AM89" s="91"/>
      <c r="AN89" s="68">
        <f t="shared" si="119"/>
        <v>248</v>
      </c>
      <c r="AO89" s="68"/>
      <c r="AP89" s="91"/>
      <c r="AQ89" s="91"/>
      <c r="AR89" s="68">
        <f t="shared" si="120"/>
        <v>248</v>
      </c>
      <c r="AS89" s="68"/>
      <c r="AT89" s="91"/>
      <c r="AU89" s="91"/>
      <c r="AV89" s="68">
        <f t="shared" si="114"/>
        <v>248</v>
      </c>
      <c r="AW89" s="68"/>
      <c r="AX89" s="91"/>
      <c r="AY89" s="91"/>
      <c r="AZ89" s="68">
        <f t="shared" ref="AZ89:AZ93" si="124">AV89+AX89-AY89</f>
        <v>248</v>
      </c>
      <c r="BA89" s="68"/>
      <c r="BB89" s="152">
        <f t="shared" si="34"/>
        <v>248</v>
      </c>
      <c r="BC89" s="152">
        <f t="shared" si="102"/>
        <v>0</v>
      </c>
      <c r="BD89" s="200">
        <f>AR89</f>
        <v>248</v>
      </c>
      <c r="BE89" s="200"/>
    </row>
    <row r="90" spans="1:57" x14ac:dyDescent="0.5">
      <c r="A90" s="67">
        <v>77</v>
      </c>
      <c r="B90" s="81" t="s">
        <v>16</v>
      </c>
      <c r="C90" s="67">
        <v>335</v>
      </c>
      <c r="D90" s="170"/>
      <c r="E90" s="170"/>
      <c r="F90" s="91"/>
      <c r="G90" s="91"/>
      <c r="H90" s="68">
        <f t="shared" si="115"/>
        <v>0</v>
      </c>
      <c r="I90" s="68"/>
      <c r="J90" s="91"/>
      <c r="K90" s="91"/>
      <c r="L90" s="68">
        <f t="shared" si="116"/>
        <v>0</v>
      </c>
      <c r="M90" s="68"/>
      <c r="N90" s="91"/>
      <c r="O90" s="91"/>
      <c r="P90" s="68">
        <f t="shared" si="104"/>
        <v>0</v>
      </c>
      <c r="Q90" s="68"/>
      <c r="R90" s="91"/>
      <c r="S90" s="91"/>
      <c r="T90" s="68">
        <f t="shared" si="105"/>
        <v>0</v>
      </c>
      <c r="U90" s="68"/>
      <c r="V90" s="91"/>
      <c r="W90" s="91"/>
      <c r="X90" s="68">
        <f t="shared" si="106"/>
        <v>0</v>
      </c>
      <c r="Y90" s="68"/>
      <c r="Z90" s="91"/>
      <c r="AA90" s="91"/>
      <c r="AB90" s="68">
        <f t="shared" si="107"/>
        <v>0</v>
      </c>
      <c r="AC90" s="68"/>
      <c r="AD90" s="91"/>
      <c r="AE90" s="91"/>
      <c r="AF90" s="68">
        <f t="shared" si="108"/>
        <v>0</v>
      </c>
      <c r="AG90" s="68"/>
      <c r="AH90" s="91"/>
      <c r="AI90" s="91"/>
      <c r="AJ90" s="68">
        <f t="shared" si="118"/>
        <v>0</v>
      </c>
      <c r="AK90" s="68"/>
      <c r="AL90" s="91"/>
      <c r="AM90" s="91"/>
      <c r="AN90" s="68">
        <f t="shared" si="119"/>
        <v>0</v>
      </c>
      <c r="AO90" s="68"/>
      <c r="AP90" s="91"/>
      <c r="AQ90" s="91"/>
      <c r="AR90" s="68">
        <f t="shared" si="120"/>
        <v>0</v>
      </c>
      <c r="AS90" s="68"/>
      <c r="AT90" s="91"/>
      <c r="AU90" s="91"/>
      <c r="AV90" s="68">
        <f t="shared" si="114"/>
        <v>0</v>
      </c>
      <c r="AW90" s="68"/>
      <c r="AX90" s="91"/>
      <c r="AY90" s="91"/>
      <c r="AZ90" s="68">
        <f t="shared" si="124"/>
        <v>0</v>
      </c>
      <c r="BA90" s="68"/>
      <c r="BB90" s="152">
        <f t="shared" si="34"/>
        <v>0</v>
      </c>
      <c r="BC90" s="152">
        <f t="shared" si="102"/>
        <v>0</v>
      </c>
      <c r="BD90" s="200">
        <f>AP90+AR90-AS90</f>
        <v>0</v>
      </c>
      <c r="BE90" s="200"/>
    </row>
    <row r="91" spans="1:57" x14ac:dyDescent="0.5">
      <c r="A91" s="67">
        <v>78</v>
      </c>
      <c r="B91" s="81" t="s">
        <v>25</v>
      </c>
      <c r="C91" s="67">
        <v>339</v>
      </c>
      <c r="D91" s="170"/>
      <c r="E91" s="170"/>
      <c r="F91" s="91">
        <v>10716</v>
      </c>
      <c r="G91" s="91"/>
      <c r="H91" s="68">
        <f>D91+F91-G91</f>
        <v>10716</v>
      </c>
      <c r="I91" s="68"/>
      <c r="J91" s="91">
        <v>10716</v>
      </c>
      <c r="K91" s="91"/>
      <c r="L91" s="68">
        <f>H91+J91-K91</f>
        <v>21432</v>
      </c>
      <c r="M91" s="68"/>
      <c r="N91" s="91">
        <v>10716</v>
      </c>
      <c r="O91" s="91"/>
      <c r="P91" s="68">
        <f>L91+N91-O91</f>
        <v>32148</v>
      </c>
      <c r="Q91" s="68"/>
      <c r="R91" s="91">
        <v>10716</v>
      </c>
      <c r="S91" s="91"/>
      <c r="T91" s="68">
        <f>P91+R91-S91</f>
        <v>42864</v>
      </c>
      <c r="U91" s="68"/>
      <c r="V91" s="91">
        <v>10716</v>
      </c>
      <c r="W91" s="91"/>
      <c r="X91" s="68">
        <f>T91+V91-W91</f>
        <v>53580</v>
      </c>
      <c r="Y91" s="68"/>
      <c r="Z91" s="91">
        <v>10716</v>
      </c>
      <c r="AA91" s="91"/>
      <c r="AB91" s="68">
        <f>X91+Z91-AA91</f>
        <v>64296</v>
      </c>
      <c r="AC91" s="68"/>
      <c r="AD91" s="91">
        <v>10716</v>
      </c>
      <c r="AE91" s="91"/>
      <c r="AF91" s="68">
        <f>AB91+AD91-AE91</f>
        <v>75012</v>
      </c>
      <c r="AG91" s="68"/>
      <c r="AH91" s="91"/>
      <c r="AI91" s="91"/>
      <c r="AJ91" s="68">
        <f>AF91+AH91-AI91</f>
        <v>75012</v>
      </c>
      <c r="AK91" s="68"/>
      <c r="AL91" s="91">
        <v>10716</v>
      </c>
      <c r="AM91" s="91"/>
      <c r="AN91" s="68">
        <f>AJ91+AL91-AM91</f>
        <v>85728</v>
      </c>
      <c r="AO91" s="68"/>
      <c r="AP91" s="91">
        <v>21432</v>
      </c>
      <c r="AQ91" s="91"/>
      <c r="AR91" s="68">
        <f>AN91+AP91-AQ91</f>
        <v>107160</v>
      </c>
      <c r="AS91" s="68"/>
      <c r="AT91" s="91">
        <v>10716</v>
      </c>
      <c r="AU91" s="91"/>
      <c r="AV91" s="68">
        <f>AR91+AT91-AU91</f>
        <v>117876</v>
      </c>
      <c r="AW91" s="68"/>
      <c r="AX91" s="91">
        <v>10716</v>
      </c>
      <c r="AY91" s="91"/>
      <c r="AZ91" s="68">
        <f>AV91+AX91-AY91</f>
        <v>128592</v>
      </c>
      <c r="BA91" s="68"/>
      <c r="BB91" s="152">
        <f>+F91+J91+N91+R91+V91+Z91+AD91+AH91+AL91+AP91+AT91+AX91</f>
        <v>128592</v>
      </c>
      <c r="BC91" s="152">
        <f t="shared" si="102"/>
        <v>0</v>
      </c>
      <c r="BD91" s="200">
        <f>BB91</f>
        <v>128592</v>
      </c>
      <c r="BE91" s="200"/>
    </row>
    <row r="92" spans="1:57" x14ac:dyDescent="0.5">
      <c r="A92" s="67">
        <v>79</v>
      </c>
      <c r="B92" s="81" t="s">
        <v>151</v>
      </c>
      <c r="C92" s="67"/>
      <c r="D92" s="170"/>
      <c r="E92" s="170"/>
      <c r="F92" s="91">
        <v>500</v>
      </c>
      <c r="G92" s="91"/>
      <c r="H92" s="68">
        <f>D92+F92-G92</f>
        <v>500</v>
      </c>
      <c r="I92" s="68"/>
      <c r="J92" s="91">
        <v>500</v>
      </c>
      <c r="K92" s="91"/>
      <c r="L92" s="68">
        <f>H92+J92-K92</f>
        <v>1000</v>
      </c>
      <c r="M92" s="68"/>
      <c r="N92" s="91">
        <v>600</v>
      </c>
      <c r="O92" s="91"/>
      <c r="P92" s="68">
        <f>L92+N92-O92</f>
        <v>1600</v>
      </c>
      <c r="Q92" s="68"/>
      <c r="R92" s="91">
        <v>650</v>
      </c>
      <c r="S92" s="91"/>
      <c r="T92" s="68">
        <f>P92+R92-S92</f>
        <v>2250</v>
      </c>
      <c r="U92" s="68"/>
      <c r="V92" s="91">
        <v>300</v>
      </c>
      <c r="W92" s="91"/>
      <c r="X92" s="68">
        <f>T92+V92-W92</f>
        <v>2550</v>
      </c>
      <c r="Y92" s="68"/>
      <c r="Z92" s="91">
        <v>350</v>
      </c>
      <c r="AA92" s="91"/>
      <c r="AB92" s="68">
        <f>X92+Z92-AA92</f>
        <v>2900</v>
      </c>
      <c r="AC92" s="68"/>
      <c r="AD92" s="91"/>
      <c r="AE92" s="91"/>
      <c r="AF92" s="68">
        <f>AB92+AD92-AE92</f>
        <v>2900</v>
      </c>
      <c r="AG92" s="68"/>
      <c r="AH92" s="91"/>
      <c r="AI92" s="91"/>
      <c r="AJ92" s="68">
        <f>AF92+AH92-AI92</f>
        <v>2900</v>
      </c>
      <c r="AK92" s="68"/>
      <c r="AL92" s="91"/>
      <c r="AM92" s="91"/>
      <c r="AN92" s="68">
        <f>AJ92+AL92-AM92</f>
        <v>2900</v>
      </c>
      <c r="AO92" s="68"/>
      <c r="AP92" s="91"/>
      <c r="AQ92" s="91"/>
      <c r="AR92" s="68">
        <f>AN92+AP92-AQ92</f>
        <v>2900</v>
      </c>
      <c r="AS92" s="68"/>
      <c r="AT92" s="91"/>
      <c r="AU92" s="91"/>
      <c r="AV92" s="68">
        <f t="shared" si="114"/>
        <v>2900</v>
      </c>
      <c r="AW92" s="68"/>
      <c r="AX92" s="91"/>
      <c r="AY92" s="91"/>
      <c r="AZ92" s="68">
        <f t="shared" si="124"/>
        <v>2900</v>
      </c>
      <c r="BA92" s="68"/>
      <c r="BB92" s="152">
        <f t="shared" si="34"/>
        <v>2900</v>
      </c>
      <c r="BC92" s="152">
        <f t="shared" si="102"/>
        <v>0</v>
      </c>
      <c r="BD92" s="200">
        <f>AR92</f>
        <v>2900</v>
      </c>
      <c r="BE92" s="200"/>
    </row>
    <row r="93" spans="1:57" x14ac:dyDescent="0.5">
      <c r="A93" s="67">
        <v>80</v>
      </c>
      <c r="B93" s="81" t="s">
        <v>171</v>
      </c>
      <c r="C93" s="67"/>
      <c r="D93" s="170"/>
      <c r="E93" s="170"/>
      <c r="F93" s="91"/>
      <c r="G93" s="91"/>
      <c r="H93" s="68">
        <f>D93+F93-G93</f>
        <v>0</v>
      </c>
      <c r="I93" s="68"/>
      <c r="J93" s="91"/>
      <c r="K93" s="91"/>
      <c r="L93" s="68">
        <f>H93+J93-K93</f>
        <v>0</v>
      </c>
      <c r="M93" s="68"/>
      <c r="N93" s="91"/>
      <c r="O93" s="91"/>
      <c r="P93" s="68">
        <f>L93+N93-O93</f>
        <v>0</v>
      </c>
      <c r="Q93" s="68"/>
      <c r="R93" s="91"/>
      <c r="S93" s="91"/>
      <c r="T93" s="68">
        <f>P93+R93-S93</f>
        <v>0</v>
      </c>
      <c r="U93" s="68"/>
      <c r="V93" s="91"/>
      <c r="W93" s="91"/>
      <c r="X93" s="68">
        <f>T93+V93-W93</f>
        <v>0</v>
      </c>
      <c r="Y93" s="68"/>
      <c r="Z93" s="91">
        <v>200</v>
      </c>
      <c r="AA93" s="91"/>
      <c r="AB93" s="68">
        <f>X93+Z93-AA93</f>
        <v>200</v>
      </c>
      <c r="AC93" s="68"/>
      <c r="AD93" s="91"/>
      <c r="AE93" s="91"/>
      <c r="AF93" s="68">
        <f>AB93+AD93-AE93</f>
        <v>200</v>
      </c>
      <c r="AG93" s="68"/>
      <c r="AH93" s="91">
        <v>400</v>
      </c>
      <c r="AI93" s="91"/>
      <c r="AJ93" s="68">
        <f>AF93+AH93-AI93</f>
        <v>600</v>
      </c>
      <c r="AK93" s="68"/>
      <c r="AL93" s="91">
        <v>200</v>
      </c>
      <c r="AM93" s="91"/>
      <c r="AN93" s="68">
        <f>AJ93+AL93-AM93</f>
        <v>800</v>
      </c>
      <c r="AO93" s="68"/>
      <c r="AP93" s="91"/>
      <c r="AQ93" s="91"/>
      <c r="AR93" s="68">
        <f>AN93+AP93-AQ93</f>
        <v>800</v>
      </c>
      <c r="AS93" s="68"/>
      <c r="AT93" s="91"/>
      <c r="AU93" s="91"/>
      <c r="AV93" s="68">
        <f t="shared" si="114"/>
        <v>800</v>
      </c>
      <c r="AW93" s="68"/>
      <c r="AX93" s="91"/>
      <c r="AY93" s="91"/>
      <c r="AZ93" s="68">
        <f t="shared" si="124"/>
        <v>800</v>
      </c>
      <c r="BA93" s="68"/>
      <c r="BB93" s="152">
        <f>+F93+J93+N93+R93+V93+Z93+AD93+AH93+AL93+AP93+AT93+AX93</f>
        <v>800</v>
      </c>
      <c r="BC93" s="152">
        <f t="shared" si="102"/>
        <v>0</v>
      </c>
      <c r="BD93" s="200">
        <f>AR93</f>
        <v>800</v>
      </c>
      <c r="BE93" s="200"/>
    </row>
    <row r="94" spans="1:57" x14ac:dyDescent="0.5">
      <c r="A94" s="67">
        <v>81</v>
      </c>
      <c r="B94" s="81" t="s">
        <v>204</v>
      </c>
      <c r="C94" s="67">
        <v>215</v>
      </c>
      <c r="D94" s="170"/>
      <c r="E94" s="170"/>
      <c r="F94" s="91">
        <v>500</v>
      </c>
      <c r="G94" s="91"/>
      <c r="H94" s="68">
        <f>D94+F94-G94</f>
        <v>500</v>
      </c>
      <c r="I94" s="68"/>
      <c r="J94" s="91">
        <v>500</v>
      </c>
      <c r="K94" s="91"/>
      <c r="L94" s="68">
        <f>H94+J94-K94</f>
        <v>1000</v>
      </c>
      <c r="M94" s="68"/>
      <c r="N94" s="91">
        <v>1605</v>
      </c>
      <c r="O94" s="91"/>
      <c r="P94" s="68">
        <f>L94+N94-O94</f>
        <v>2605</v>
      </c>
      <c r="Q94" s="68"/>
      <c r="R94" s="91">
        <v>366.5</v>
      </c>
      <c r="S94" s="91"/>
      <c r="T94" s="68">
        <f>P94+R94-S94</f>
        <v>2971.5</v>
      </c>
      <c r="U94" s="68"/>
      <c r="V94" s="91">
        <v>631.29999999999995</v>
      </c>
      <c r="W94" s="91"/>
      <c r="X94" s="68">
        <f>T94+V94-W94</f>
        <v>3602.8</v>
      </c>
      <c r="Y94" s="68"/>
      <c r="Z94" s="91">
        <v>631.29999999999995</v>
      </c>
      <c r="AA94" s="91"/>
      <c r="AB94" s="68">
        <f>X94+Z94-AA94</f>
        <v>4234.1000000000004</v>
      </c>
      <c r="AC94" s="68"/>
      <c r="AD94" s="91">
        <v>631.29999999999995</v>
      </c>
      <c r="AE94" s="91"/>
      <c r="AF94" s="68">
        <f>AB94+AD94-AE94</f>
        <v>4865.4000000000005</v>
      </c>
      <c r="AG94" s="68"/>
      <c r="AH94" s="91">
        <v>631.29999999999995</v>
      </c>
      <c r="AI94" s="91"/>
      <c r="AJ94" s="68">
        <f>AF94+AH94-AI94</f>
        <v>5496.7000000000007</v>
      </c>
      <c r="AK94" s="68"/>
      <c r="AL94" s="91">
        <v>631.29999999999995</v>
      </c>
      <c r="AM94" s="91"/>
      <c r="AN94" s="68">
        <f>AJ94+AL94-AM94</f>
        <v>6128.0000000000009</v>
      </c>
      <c r="AO94" s="68"/>
      <c r="AP94" s="91">
        <v>631.25</v>
      </c>
      <c r="AQ94" s="91"/>
      <c r="AR94" s="68">
        <f>AN94+AP94-AQ94</f>
        <v>6759.2500000000009</v>
      </c>
      <c r="AS94" s="68"/>
      <c r="AT94" s="91">
        <v>631.25</v>
      </c>
      <c r="AU94" s="91"/>
      <c r="AV94" s="68">
        <f>AR94+AT94-AU94</f>
        <v>7390.5000000000009</v>
      </c>
      <c r="AW94" s="68"/>
      <c r="AX94" s="91">
        <v>631.25</v>
      </c>
      <c r="AY94" s="91"/>
      <c r="AZ94" s="68">
        <f>AV94+AX94-AY94</f>
        <v>8021.7500000000009</v>
      </c>
      <c r="BA94" s="68"/>
      <c r="BB94" s="152">
        <f>+F94+J94+N94+R94+V94+Z94+AD94+AH94+AL94+AP94+AT94+AX94</f>
        <v>8021.7500000000009</v>
      </c>
      <c r="BC94" s="152">
        <f t="shared" si="102"/>
        <v>0</v>
      </c>
      <c r="BD94" s="200">
        <f>BB94</f>
        <v>8021.7500000000009</v>
      </c>
      <c r="BE94" s="200"/>
    </row>
    <row r="95" spans="1:57" x14ac:dyDescent="0.5">
      <c r="A95" s="67">
        <v>82</v>
      </c>
      <c r="B95" s="81" t="s">
        <v>85</v>
      </c>
      <c r="C95" s="67">
        <v>349</v>
      </c>
      <c r="D95" s="170"/>
      <c r="E95" s="170"/>
      <c r="F95" s="91"/>
      <c r="G95" s="91"/>
      <c r="H95" s="68">
        <f>D95+F95-G95</f>
        <v>0</v>
      </c>
      <c r="I95" s="68"/>
      <c r="J95" s="91"/>
      <c r="K95" s="91"/>
      <c r="L95" s="68">
        <f>H95+J95-K95</f>
        <v>0</v>
      </c>
      <c r="M95" s="68"/>
      <c r="N95" s="91"/>
      <c r="O95" s="91"/>
      <c r="P95" s="68">
        <f>L95+N95-O95</f>
        <v>0</v>
      </c>
      <c r="Q95" s="68"/>
      <c r="R95" s="91"/>
      <c r="S95" s="91"/>
      <c r="T95" s="68">
        <f>P95+R95-S95</f>
        <v>0</v>
      </c>
      <c r="U95" s="68"/>
      <c r="V95" s="91"/>
      <c r="W95" s="91"/>
      <c r="X95" s="68">
        <f>T95+V95-W95</f>
        <v>0</v>
      </c>
      <c r="Y95" s="68"/>
      <c r="Z95" s="91"/>
      <c r="AA95" s="91"/>
      <c r="AB95" s="68">
        <f>X95+Z95-AA95</f>
        <v>0</v>
      </c>
      <c r="AC95" s="68"/>
      <c r="AD95" s="91"/>
      <c r="AE95" s="91"/>
      <c r="AF95" s="68">
        <f>AB95+AD95-AE95</f>
        <v>0</v>
      </c>
      <c r="AG95" s="68"/>
      <c r="AH95" s="91"/>
      <c r="AI95" s="91"/>
      <c r="AJ95" s="68">
        <f>AF95+AH95-AI95</f>
        <v>0</v>
      </c>
      <c r="AK95" s="68"/>
      <c r="AL95" s="91"/>
      <c r="AM95" s="91"/>
      <c r="AN95" s="68">
        <f>AJ95+AL95-AM95</f>
        <v>0</v>
      </c>
      <c r="AO95" s="68"/>
      <c r="AP95" s="91"/>
      <c r="AQ95" s="91"/>
      <c r="AR95" s="68">
        <f>AN95+AP95-AQ95</f>
        <v>0</v>
      </c>
      <c r="AS95" s="68"/>
      <c r="AT95" s="91"/>
      <c r="AU95" s="91"/>
      <c r="AV95" s="68">
        <f t="shared" ref="AV95:AV106" si="125">BD95+AT95-AU95</f>
        <v>0</v>
      </c>
      <c r="AW95" s="68"/>
      <c r="AX95" s="91"/>
      <c r="AY95" s="91"/>
      <c r="AZ95" s="68">
        <f t="shared" ref="AZ95:AZ106" si="126">BH95+AX95-AY95</f>
        <v>0</v>
      </c>
      <c r="BA95" s="68"/>
      <c r="BB95" s="152">
        <f t="shared" si="34"/>
        <v>0</v>
      </c>
      <c r="BC95" s="152">
        <f t="shared" si="102"/>
        <v>0</v>
      </c>
      <c r="BD95" s="200">
        <f>AP95+AR95-AS95</f>
        <v>0</v>
      </c>
      <c r="BE95" s="200"/>
    </row>
    <row r="96" spans="1:57" x14ac:dyDescent="0.5">
      <c r="A96" s="67">
        <v>83</v>
      </c>
      <c r="B96" s="100" t="s">
        <v>128</v>
      </c>
      <c r="C96" s="67"/>
      <c r="D96" s="170"/>
      <c r="E96" s="170"/>
      <c r="F96" s="91"/>
      <c r="G96" s="91"/>
      <c r="H96" s="68">
        <f t="shared" si="115"/>
        <v>0</v>
      </c>
      <c r="I96" s="68"/>
      <c r="J96" s="91"/>
      <c r="K96" s="91"/>
      <c r="L96" s="68">
        <f t="shared" si="116"/>
        <v>0</v>
      </c>
      <c r="M96" s="68"/>
      <c r="N96" s="91"/>
      <c r="O96" s="91"/>
      <c r="P96" s="68">
        <f t="shared" si="104"/>
        <v>0</v>
      </c>
      <c r="Q96" s="68"/>
      <c r="R96" s="91"/>
      <c r="S96" s="91"/>
      <c r="T96" s="68">
        <f t="shared" si="105"/>
        <v>0</v>
      </c>
      <c r="U96" s="68"/>
      <c r="V96" s="91"/>
      <c r="W96" s="91"/>
      <c r="X96" s="68">
        <f t="shared" si="106"/>
        <v>0</v>
      </c>
      <c r="Y96" s="68"/>
      <c r="Z96" s="91"/>
      <c r="AA96" s="91"/>
      <c r="AB96" s="68">
        <f t="shared" si="107"/>
        <v>0</v>
      </c>
      <c r="AC96" s="68"/>
      <c r="AD96" s="91"/>
      <c r="AE96" s="91"/>
      <c r="AF96" s="68">
        <f t="shared" si="108"/>
        <v>0</v>
      </c>
      <c r="AG96" s="68"/>
      <c r="AH96" s="91"/>
      <c r="AI96" s="91"/>
      <c r="AJ96" s="68">
        <f t="shared" ref="AJ96:AJ106" si="127">AF96+AH96-AI96</f>
        <v>0</v>
      </c>
      <c r="AK96" s="68"/>
      <c r="AL96" s="91"/>
      <c r="AM96" s="91"/>
      <c r="AN96" s="68">
        <f t="shared" ref="AN96:AN106" si="128">AJ96+AL96-AM96</f>
        <v>0</v>
      </c>
      <c r="AO96" s="68"/>
      <c r="AP96" s="91"/>
      <c r="AQ96" s="91"/>
      <c r="AR96" s="68">
        <f t="shared" ref="AR96:AR106" si="129">AN96+AP96-AQ96</f>
        <v>0</v>
      </c>
      <c r="AS96" s="68"/>
      <c r="AT96" s="91"/>
      <c r="AU96" s="91"/>
      <c r="AV96" s="68">
        <f t="shared" si="125"/>
        <v>0</v>
      </c>
      <c r="AW96" s="68"/>
      <c r="AX96" s="91"/>
      <c r="AY96" s="91"/>
      <c r="AZ96" s="68">
        <f t="shared" si="126"/>
        <v>0</v>
      </c>
      <c r="BA96" s="68"/>
      <c r="BB96" s="152">
        <f t="shared" ref="BB96:BB111" si="130">+F96+J96+N96+R96+V96+Z96+AD96+AH96+AL96+AP96</f>
        <v>0</v>
      </c>
      <c r="BC96" s="152">
        <f t="shared" si="102"/>
        <v>0</v>
      </c>
      <c r="BD96" s="200">
        <f t="shared" ref="BD96:BD106" si="131">AP96+AR96-AS96</f>
        <v>0</v>
      </c>
      <c r="BE96" s="200"/>
    </row>
    <row r="97" spans="1:57" x14ac:dyDescent="0.5">
      <c r="A97" s="67">
        <v>84</v>
      </c>
      <c r="B97" s="100" t="s">
        <v>129</v>
      </c>
      <c r="C97" s="67"/>
      <c r="D97" s="170"/>
      <c r="E97" s="170"/>
      <c r="F97" s="91"/>
      <c r="G97" s="91"/>
      <c r="H97" s="68">
        <f t="shared" si="115"/>
        <v>0</v>
      </c>
      <c r="I97" s="68"/>
      <c r="J97" s="91"/>
      <c r="K97" s="91"/>
      <c r="L97" s="68">
        <f t="shared" si="116"/>
        <v>0</v>
      </c>
      <c r="M97" s="68"/>
      <c r="N97" s="91"/>
      <c r="O97" s="91"/>
      <c r="P97" s="68">
        <f t="shared" si="104"/>
        <v>0</v>
      </c>
      <c r="Q97" s="68"/>
      <c r="R97" s="91"/>
      <c r="S97" s="91"/>
      <c r="T97" s="68">
        <f t="shared" si="105"/>
        <v>0</v>
      </c>
      <c r="U97" s="68"/>
      <c r="V97" s="91"/>
      <c r="W97" s="91"/>
      <c r="X97" s="68">
        <f t="shared" si="106"/>
        <v>0</v>
      </c>
      <c r="Y97" s="68"/>
      <c r="Z97" s="91"/>
      <c r="AA97" s="91"/>
      <c r="AB97" s="68">
        <f t="shared" si="107"/>
        <v>0</v>
      </c>
      <c r="AC97" s="68"/>
      <c r="AD97" s="91"/>
      <c r="AE97" s="91"/>
      <c r="AF97" s="68">
        <f t="shared" si="108"/>
        <v>0</v>
      </c>
      <c r="AG97" s="68"/>
      <c r="AH97" s="91"/>
      <c r="AI97" s="91"/>
      <c r="AJ97" s="68">
        <f t="shared" si="127"/>
        <v>0</v>
      </c>
      <c r="AK97" s="68"/>
      <c r="AL97" s="91"/>
      <c r="AM97" s="91"/>
      <c r="AN97" s="68">
        <f t="shared" si="128"/>
        <v>0</v>
      </c>
      <c r="AO97" s="68"/>
      <c r="AP97" s="91"/>
      <c r="AQ97" s="91"/>
      <c r="AR97" s="68">
        <f t="shared" si="129"/>
        <v>0</v>
      </c>
      <c r="AS97" s="68"/>
      <c r="AT97" s="91"/>
      <c r="AU97" s="91"/>
      <c r="AV97" s="68">
        <f t="shared" si="125"/>
        <v>0</v>
      </c>
      <c r="AW97" s="68"/>
      <c r="AX97" s="91"/>
      <c r="AY97" s="91"/>
      <c r="AZ97" s="68">
        <f t="shared" si="126"/>
        <v>0</v>
      </c>
      <c r="BA97" s="68"/>
      <c r="BB97" s="152">
        <f t="shared" si="130"/>
        <v>0</v>
      </c>
      <c r="BC97" s="152">
        <f t="shared" si="102"/>
        <v>0</v>
      </c>
      <c r="BD97" s="200">
        <f t="shared" si="131"/>
        <v>0</v>
      </c>
      <c r="BE97" s="200"/>
    </row>
    <row r="98" spans="1:57" x14ac:dyDescent="0.5">
      <c r="A98" s="67">
        <v>85</v>
      </c>
      <c r="B98" s="100" t="s">
        <v>130</v>
      </c>
      <c r="C98" s="67"/>
      <c r="D98" s="170"/>
      <c r="E98" s="170"/>
      <c r="F98" s="91"/>
      <c r="G98" s="91"/>
      <c r="H98" s="68">
        <f t="shared" si="115"/>
        <v>0</v>
      </c>
      <c r="I98" s="68"/>
      <c r="J98" s="91"/>
      <c r="K98" s="91"/>
      <c r="L98" s="68">
        <f t="shared" si="116"/>
        <v>0</v>
      </c>
      <c r="M98" s="68"/>
      <c r="N98" s="91"/>
      <c r="O98" s="91"/>
      <c r="P98" s="68">
        <f t="shared" si="104"/>
        <v>0</v>
      </c>
      <c r="Q98" s="68"/>
      <c r="R98" s="91"/>
      <c r="S98" s="91"/>
      <c r="T98" s="68">
        <f t="shared" si="105"/>
        <v>0</v>
      </c>
      <c r="U98" s="68"/>
      <c r="V98" s="91"/>
      <c r="W98" s="91"/>
      <c r="X98" s="68">
        <f t="shared" si="106"/>
        <v>0</v>
      </c>
      <c r="Y98" s="68"/>
      <c r="Z98" s="91"/>
      <c r="AA98" s="91"/>
      <c r="AB98" s="68">
        <f t="shared" si="107"/>
        <v>0</v>
      </c>
      <c r="AC98" s="68"/>
      <c r="AD98" s="91"/>
      <c r="AE98" s="91"/>
      <c r="AF98" s="68">
        <f t="shared" si="108"/>
        <v>0</v>
      </c>
      <c r="AG98" s="68"/>
      <c r="AH98" s="91"/>
      <c r="AI98" s="91"/>
      <c r="AJ98" s="68">
        <f t="shared" si="127"/>
        <v>0</v>
      </c>
      <c r="AK98" s="68"/>
      <c r="AL98" s="91"/>
      <c r="AM98" s="91"/>
      <c r="AN98" s="68">
        <f t="shared" si="128"/>
        <v>0</v>
      </c>
      <c r="AO98" s="68"/>
      <c r="AP98" s="91"/>
      <c r="AQ98" s="91"/>
      <c r="AR98" s="68">
        <f t="shared" si="129"/>
        <v>0</v>
      </c>
      <c r="AS98" s="68"/>
      <c r="AT98" s="91"/>
      <c r="AU98" s="91"/>
      <c r="AV98" s="68">
        <f t="shared" si="125"/>
        <v>0</v>
      </c>
      <c r="AW98" s="68"/>
      <c r="AX98" s="91"/>
      <c r="AY98" s="91"/>
      <c r="AZ98" s="68">
        <f t="shared" si="126"/>
        <v>0</v>
      </c>
      <c r="BA98" s="68"/>
      <c r="BB98" s="152">
        <f t="shared" si="130"/>
        <v>0</v>
      </c>
      <c r="BC98" s="152">
        <f t="shared" ref="BC98:BC112" si="132">+G98+K98+O98+S98+W98+AA98+AE98+AI98+AM98+AQ98+AS98</f>
        <v>0</v>
      </c>
      <c r="BD98" s="200">
        <f t="shared" si="131"/>
        <v>0</v>
      </c>
      <c r="BE98" s="200"/>
    </row>
    <row r="99" spans="1:57" x14ac:dyDescent="0.5">
      <c r="A99" s="67">
        <v>86</v>
      </c>
      <c r="B99" s="100" t="s">
        <v>131</v>
      </c>
      <c r="C99" s="67"/>
      <c r="D99" s="170"/>
      <c r="E99" s="170"/>
      <c r="F99" s="91"/>
      <c r="G99" s="91"/>
      <c r="H99" s="68">
        <f t="shared" si="115"/>
        <v>0</v>
      </c>
      <c r="I99" s="68"/>
      <c r="J99" s="91"/>
      <c r="K99" s="91"/>
      <c r="L99" s="68">
        <f t="shared" si="116"/>
        <v>0</v>
      </c>
      <c r="M99" s="68"/>
      <c r="N99" s="91"/>
      <c r="O99" s="91"/>
      <c r="P99" s="68">
        <f t="shared" si="104"/>
        <v>0</v>
      </c>
      <c r="Q99" s="68"/>
      <c r="R99" s="91"/>
      <c r="S99" s="91"/>
      <c r="T99" s="68">
        <f t="shared" si="105"/>
        <v>0</v>
      </c>
      <c r="U99" s="68"/>
      <c r="V99" s="91"/>
      <c r="W99" s="91"/>
      <c r="X99" s="68">
        <f t="shared" si="106"/>
        <v>0</v>
      </c>
      <c r="Y99" s="68"/>
      <c r="Z99" s="91"/>
      <c r="AA99" s="91"/>
      <c r="AB99" s="68">
        <f t="shared" si="107"/>
        <v>0</v>
      </c>
      <c r="AC99" s="68"/>
      <c r="AD99" s="91"/>
      <c r="AE99" s="91"/>
      <c r="AF99" s="68">
        <f t="shared" si="108"/>
        <v>0</v>
      </c>
      <c r="AG99" s="68"/>
      <c r="AH99" s="91"/>
      <c r="AI99" s="91"/>
      <c r="AJ99" s="68">
        <f t="shared" si="127"/>
        <v>0</v>
      </c>
      <c r="AK99" s="68"/>
      <c r="AL99" s="91"/>
      <c r="AM99" s="91"/>
      <c r="AN99" s="68">
        <f t="shared" si="128"/>
        <v>0</v>
      </c>
      <c r="AO99" s="68"/>
      <c r="AP99" s="91"/>
      <c r="AQ99" s="91"/>
      <c r="AR99" s="68">
        <f t="shared" si="129"/>
        <v>0</v>
      </c>
      <c r="AS99" s="68"/>
      <c r="AT99" s="91"/>
      <c r="AU99" s="91"/>
      <c r="AV99" s="68">
        <f t="shared" si="125"/>
        <v>0</v>
      </c>
      <c r="AW99" s="68"/>
      <c r="AX99" s="91"/>
      <c r="AY99" s="91"/>
      <c r="AZ99" s="68">
        <f t="shared" si="126"/>
        <v>0</v>
      </c>
      <c r="BA99" s="68"/>
      <c r="BB99" s="152">
        <f t="shared" si="130"/>
        <v>0</v>
      </c>
      <c r="BC99" s="152">
        <f t="shared" si="132"/>
        <v>0</v>
      </c>
      <c r="BD99" s="200">
        <f t="shared" si="131"/>
        <v>0</v>
      </c>
      <c r="BE99" s="200"/>
    </row>
    <row r="100" spans="1:57" x14ac:dyDescent="0.5">
      <c r="A100" s="67">
        <v>87</v>
      </c>
      <c r="B100" s="81" t="s">
        <v>86</v>
      </c>
      <c r="C100" s="67">
        <v>285</v>
      </c>
      <c r="D100" s="170">
        <f>'งบทดลองส่งรายเดือนปี59-60'!CR87+'งบทดลองส่งรายเดือนปี59-60'!CT87-'งบทดลองส่งรายเดือนปี59-60'!CU87</f>
        <v>0</v>
      </c>
      <c r="E100" s="170"/>
      <c r="F100" s="91"/>
      <c r="G100" s="91"/>
      <c r="H100" s="68">
        <f t="shared" si="115"/>
        <v>0</v>
      </c>
      <c r="I100" s="68"/>
      <c r="J100" s="91"/>
      <c r="K100" s="91"/>
      <c r="L100" s="68">
        <f t="shared" si="116"/>
        <v>0</v>
      </c>
      <c r="M100" s="68"/>
      <c r="N100" s="91"/>
      <c r="O100" s="91"/>
      <c r="P100" s="68">
        <f t="shared" si="104"/>
        <v>0</v>
      </c>
      <c r="Q100" s="68"/>
      <c r="R100" s="91"/>
      <c r="S100" s="91"/>
      <c r="T100" s="68">
        <f t="shared" si="105"/>
        <v>0</v>
      </c>
      <c r="U100" s="68"/>
      <c r="V100" s="91"/>
      <c r="W100" s="91"/>
      <c r="X100" s="68">
        <f t="shared" si="106"/>
        <v>0</v>
      </c>
      <c r="Y100" s="68"/>
      <c r="Z100" s="91"/>
      <c r="AA100" s="91"/>
      <c r="AB100" s="68">
        <f t="shared" si="107"/>
        <v>0</v>
      </c>
      <c r="AC100" s="68"/>
      <c r="AD100" s="91"/>
      <c r="AE100" s="91"/>
      <c r="AF100" s="68">
        <f t="shared" si="108"/>
        <v>0</v>
      </c>
      <c r="AG100" s="68"/>
      <c r="AH100" s="91"/>
      <c r="AI100" s="91"/>
      <c r="AJ100" s="68">
        <f t="shared" si="127"/>
        <v>0</v>
      </c>
      <c r="AK100" s="68"/>
      <c r="AL100" s="91"/>
      <c r="AM100" s="91"/>
      <c r="AN100" s="68">
        <f t="shared" si="128"/>
        <v>0</v>
      </c>
      <c r="AO100" s="68"/>
      <c r="AP100" s="91"/>
      <c r="AQ100" s="91"/>
      <c r="AR100" s="68">
        <f t="shared" si="129"/>
        <v>0</v>
      </c>
      <c r="AS100" s="68"/>
      <c r="AT100" s="91"/>
      <c r="AU100" s="91"/>
      <c r="AV100" s="68">
        <f t="shared" si="125"/>
        <v>0</v>
      </c>
      <c r="AW100" s="68"/>
      <c r="AX100" s="91"/>
      <c r="AY100" s="91"/>
      <c r="AZ100" s="68">
        <f t="shared" si="126"/>
        <v>0</v>
      </c>
      <c r="BA100" s="68"/>
      <c r="BB100" s="152">
        <f t="shared" si="130"/>
        <v>0</v>
      </c>
      <c r="BC100" s="152">
        <f t="shared" si="132"/>
        <v>0</v>
      </c>
      <c r="BD100" s="200">
        <f t="shared" si="131"/>
        <v>0</v>
      </c>
      <c r="BE100" s="200"/>
    </row>
    <row r="101" spans="1:57" x14ac:dyDescent="0.5">
      <c r="A101" s="67">
        <v>88</v>
      </c>
      <c r="B101" s="81" t="s">
        <v>87</v>
      </c>
      <c r="C101" s="67">
        <v>321</v>
      </c>
      <c r="D101" s="170">
        <f>'งบทดลองส่งรายเดือนปี59-60'!CR89+'งบทดลองส่งรายเดือนปี59-60'!CT89-'งบทดลองส่งรายเดือนปี59-60'!CU89</f>
        <v>0</v>
      </c>
      <c r="E101" s="170"/>
      <c r="F101" s="91"/>
      <c r="G101" s="91"/>
      <c r="H101" s="68">
        <f t="shared" si="115"/>
        <v>0</v>
      </c>
      <c r="I101" s="68"/>
      <c r="J101" s="91"/>
      <c r="K101" s="91"/>
      <c r="L101" s="68">
        <f t="shared" si="116"/>
        <v>0</v>
      </c>
      <c r="M101" s="68"/>
      <c r="N101" s="91"/>
      <c r="O101" s="91"/>
      <c r="P101" s="68">
        <f t="shared" si="104"/>
        <v>0</v>
      </c>
      <c r="Q101" s="68"/>
      <c r="R101" s="91"/>
      <c r="S101" s="91"/>
      <c r="T101" s="68">
        <f t="shared" si="105"/>
        <v>0</v>
      </c>
      <c r="U101" s="68"/>
      <c r="V101" s="91"/>
      <c r="W101" s="91"/>
      <c r="X101" s="68">
        <f t="shared" si="106"/>
        <v>0</v>
      </c>
      <c r="Y101" s="68"/>
      <c r="Z101" s="91"/>
      <c r="AA101" s="91"/>
      <c r="AB101" s="68">
        <f t="shared" si="107"/>
        <v>0</v>
      </c>
      <c r="AC101" s="68"/>
      <c r="AD101" s="91"/>
      <c r="AE101" s="91"/>
      <c r="AF101" s="68">
        <f t="shared" si="108"/>
        <v>0</v>
      </c>
      <c r="AG101" s="68"/>
      <c r="AH101" s="91"/>
      <c r="AI101" s="91"/>
      <c r="AJ101" s="68">
        <f t="shared" si="127"/>
        <v>0</v>
      </c>
      <c r="AK101" s="68"/>
      <c r="AL101" s="91"/>
      <c r="AM101" s="91"/>
      <c r="AN101" s="68">
        <f t="shared" si="128"/>
        <v>0</v>
      </c>
      <c r="AO101" s="68"/>
      <c r="AP101" s="91"/>
      <c r="AQ101" s="91"/>
      <c r="AR101" s="68">
        <f t="shared" si="129"/>
        <v>0</v>
      </c>
      <c r="AS101" s="68"/>
      <c r="AT101" s="91"/>
      <c r="AU101" s="91"/>
      <c r="AV101" s="68">
        <f t="shared" si="125"/>
        <v>0</v>
      </c>
      <c r="AW101" s="68"/>
      <c r="AX101" s="91"/>
      <c r="AY101" s="91"/>
      <c r="AZ101" s="68">
        <f t="shared" si="126"/>
        <v>0</v>
      </c>
      <c r="BA101" s="68"/>
      <c r="BB101" s="152">
        <f t="shared" si="130"/>
        <v>0</v>
      </c>
      <c r="BC101" s="152">
        <f t="shared" si="132"/>
        <v>0</v>
      </c>
      <c r="BD101" s="200">
        <f t="shared" si="131"/>
        <v>0</v>
      </c>
      <c r="BE101" s="200"/>
    </row>
    <row r="102" spans="1:57" x14ac:dyDescent="0.5">
      <c r="A102" s="67">
        <v>89</v>
      </c>
      <c r="B102" s="81" t="s">
        <v>92</v>
      </c>
      <c r="C102" s="67"/>
      <c r="D102" s="170"/>
      <c r="E102" s="170"/>
      <c r="F102" s="91"/>
      <c r="G102" s="91"/>
      <c r="H102" s="68">
        <f t="shared" si="115"/>
        <v>0</v>
      </c>
      <c r="I102" s="68"/>
      <c r="J102" s="91"/>
      <c r="K102" s="91"/>
      <c r="L102" s="68">
        <f t="shared" si="116"/>
        <v>0</v>
      </c>
      <c r="M102" s="68"/>
      <c r="N102" s="91"/>
      <c r="O102" s="91"/>
      <c r="P102" s="68">
        <f t="shared" si="104"/>
        <v>0</v>
      </c>
      <c r="Q102" s="68"/>
      <c r="R102" s="91"/>
      <c r="S102" s="91"/>
      <c r="T102" s="68">
        <f t="shared" si="105"/>
        <v>0</v>
      </c>
      <c r="U102" s="68"/>
      <c r="V102" s="91"/>
      <c r="W102" s="91"/>
      <c r="X102" s="68">
        <f t="shared" si="106"/>
        <v>0</v>
      </c>
      <c r="Y102" s="68"/>
      <c r="Z102" s="91"/>
      <c r="AA102" s="91"/>
      <c r="AB102" s="68">
        <f t="shared" si="107"/>
        <v>0</v>
      </c>
      <c r="AC102" s="68"/>
      <c r="AD102" s="91"/>
      <c r="AE102" s="91"/>
      <c r="AF102" s="68">
        <f t="shared" si="108"/>
        <v>0</v>
      </c>
      <c r="AG102" s="68"/>
      <c r="AH102" s="91"/>
      <c r="AI102" s="91"/>
      <c r="AJ102" s="68">
        <f t="shared" si="127"/>
        <v>0</v>
      </c>
      <c r="AK102" s="68"/>
      <c r="AL102" s="91"/>
      <c r="AM102" s="91"/>
      <c r="AN102" s="68">
        <f t="shared" si="128"/>
        <v>0</v>
      </c>
      <c r="AO102" s="68"/>
      <c r="AP102" s="91"/>
      <c r="AQ102" s="91"/>
      <c r="AR102" s="68">
        <f t="shared" si="129"/>
        <v>0</v>
      </c>
      <c r="AS102" s="68"/>
      <c r="AT102" s="91"/>
      <c r="AU102" s="91"/>
      <c r="AV102" s="68">
        <f t="shared" si="125"/>
        <v>0</v>
      </c>
      <c r="AW102" s="68"/>
      <c r="AX102" s="91"/>
      <c r="AY102" s="91"/>
      <c r="AZ102" s="68">
        <f t="shared" si="126"/>
        <v>0</v>
      </c>
      <c r="BA102" s="68"/>
      <c r="BB102" s="152">
        <f t="shared" si="130"/>
        <v>0</v>
      </c>
      <c r="BC102" s="152">
        <f t="shared" si="132"/>
        <v>0</v>
      </c>
      <c r="BD102" s="200">
        <f t="shared" si="131"/>
        <v>0</v>
      </c>
      <c r="BE102" s="200"/>
    </row>
    <row r="103" spans="1:57" x14ac:dyDescent="0.5">
      <c r="A103" s="67">
        <v>90</v>
      </c>
      <c r="B103" s="81" t="s">
        <v>89</v>
      </c>
      <c r="C103" s="67"/>
      <c r="D103" s="170"/>
      <c r="E103" s="170"/>
      <c r="F103" s="91"/>
      <c r="G103" s="91"/>
      <c r="H103" s="68">
        <f t="shared" si="115"/>
        <v>0</v>
      </c>
      <c r="I103" s="68"/>
      <c r="J103" s="91"/>
      <c r="K103" s="91"/>
      <c r="L103" s="68">
        <f t="shared" si="116"/>
        <v>0</v>
      </c>
      <c r="M103" s="68"/>
      <c r="N103" s="91"/>
      <c r="O103" s="91"/>
      <c r="P103" s="68">
        <f t="shared" si="104"/>
        <v>0</v>
      </c>
      <c r="Q103" s="68"/>
      <c r="R103" s="91"/>
      <c r="S103" s="91"/>
      <c r="T103" s="68">
        <f t="shared" si="105"/>
        <v>0</v>
      </c>
      <c r="U103" s="68"/>
      <c r="V103" s="91"/>
      <c r="W103" s="91"/>
      <c r="X103" s="68">
        <f t="shared" si="106"/>
        <v>0</v>
      </c>
      <c r="Y103" s="68"/>
      <c r="Z103" s="91"/>
      <c r="AA103" s="91"/>
      <c r="AB103" s="68">
        <f t="shared" si="107"/>
        <v>0</v>
      </c>
      <c r="AC103" s="68"/>
      <c r="AD103" s="91"/>
      <c r="AE103" s="91"/>
      <c r="AF103" s="68">
        <f t="shared" si="108"/>
        <v>0</v>
      </c>
      <c r="AG103" s="68"/>
      <c r="AH103" s="91"/>
      <c r="AI103" s="91"/>
      <c r="AJ103" s="68">
        <f t="shared" si="127"/>
        <v>0</v>
      </c>
      <c r="AK103" s="68"/>
      <c r="AL103" s="91"/>
      <c r="AM103" s="91"/>
      <c r="AN103" s="68">
        <f t="shared" si="128"/>
        <v>0</v>
      </c>
      <c r="AO103" s="68"/>
      <c r="AP103" s="91"/>
      <c r="AQ103" s="91"/>
      <c r="AR103" s="68">
        <f t="shared" si="129"/>
        <v>0</v>
      </c>
      <c r="AS103" s="68"/>
      <c r="AT103" s="91"/>
      <c r="AU103" s="91"/>
      <c r="AV103" s="68">
        <f t="shared" si="125"/>
        <v>0</v>
      </c>
      <c r="AW103" s="68"/>
      <c r="AX103" s="91"/>
      <c r="AY103" s="91"/>
      <c r="AZ103" s="68">
        <f t="shared" si="126"/>
        <v>0</v>
      </c>
      <c r="BA103" s="68"/>
      <c r="BB103" s="152">
        <f t="shared" si="130"/>
        <v>0</v>
      </c>
      <c r="BC103" s="152">
        <f t="shared" si="132"/>
        <v>0</v>
      </c>
      <c r="BD103" s="200">
        <f t="shared" si="131"/>
        <v>0</v>
      </c>
      <c r="BE103" s="200"/>
    </row>
    <row r="104" spans="1:57" x14ac:dyDescent="0.5">
      <c r="A104" s="67">
        <v>91</v>
      </c>
      <c r="B104" s="81" t="s">
        <v>90</v>
      </c>
      <c r="C104" s="67"/>
      <c r="D104" s="170"/>
      <c r="E104" s="170"/>
      <c r="F104" s="91"/>
      <c r="G104" s="91"/>
      <c r="H104" s="68">
        <f t="shared" si="115"/>
        <v>0</v>
      </c>
      <c r="I104" s="68"/>
      <c r="J104" s="91"/>
      <c r="K104" s="91"/>
      <c r="L104" s="68">
        <f t="shared" si="116"/>
        <v>0</v>
      </c>
      <c r="M104" s="68"/>
      <c r="N104" s="91"/>
      <c r="O104" s="91"/>
      <c r="P104" s="68">
        <f t="shared" si="104"/>
        <v>0</v>
      </c>
      <c r="Q104" s="68"/>
      <c r="R104" s="91"/>
      <c r="S104" s="91"/>
      <c r="T104" s="68">
        <f t="shared" si="105"/>
        <v>0</v>
      </c>
      <c r="U104" s="68"/>
      <c r="V104" s="91"/>
      <c r="W104" s="91"/>
      <c r="X104" s="68">
        <f t="shared" si="106"/>
        <v>0</v>
      </c>
      <c r="Y104" s="68"/>
      <c r="Z104" s="91"/>
      <c r="AA104" s="91"/>
      <c r="AB104" s="68">
        <f t="shared" si="107"/>
        <v>0</v>
      </c>
      <c r="AC104" s="68"/>
      <c r="AD104" s="91"/>
      <c r="AE104" s="91"/>
      <c r="AF104" s="68">
        <f t="shared" si="108"/>
        <v>0</v>
      </c>
      <c r="AG104" s="68"/>
      <c r="AH104" s="91"/>
      <c r="AI104" s="91"/>
      <c r="AJ104" s="68">
        <f t="shared" si="127"/>
        <v>0</v>
      </c>
      <c r="AK104" s="68"/>
      <c r="AL104" s="91"/>
      <c r="AM104" s="91"/>
      <c r="AN104" s="68">
        <f t="shared" si="128"/>
        <v>0</v>
      </c>
      <c r="AO104" s="68"/>
      <c r="AP104" s="91"/>
      <c r="AQ104" s="91"/>
      <c r="AR104" s="68">
        <f t="shared" si="129"/>
        <v>0</v>
      </c>
      <c r="AS104" s="68"/>
      <c r="AT104" s="91"/>
      <c r="AU104" s="91"/>
      <c r="AV104" s="68">
        <f t="shared" si="125"/>
        <v>0</v>
      </c>
      <c r="AW104" s="68"/>
      <c r="AX104" s="91"/>
      <c r="AY104" s="91"/>
      <c r="AZ104" s="68">
        <f t="shared" si="126"/>
        <v>0</v>
      </c>
      <c r="BA104" s="68"/>
      <c r="BB104" s="152">
        <f t="shared" si="130"/>
        <v>0</v>
      </c>
      <c r="BC104" s="152">
        <f t="shared" si="132"/>
        <v>0</v>
      </c>
      <c r="BD104" s="200">
        <f t="shared" si="131"/>
        <v>0</v>
      </c>
      <c r="BE104" s="200"/>
    </row>
    <row r="105" spans="1:57" x14ac:dyDescent="0.5">
      <c r="A105" s="67">
        <v>92</v>
      </c>
      <c r="B105" s="81" t="s">
        <v>91</v>
      </c>
      <c r="C105" s="67"/>
      <c r="D105" s="170"/>
      <c r="E105" s="170"/>
      <c r="F105" s="91"/>
      <c r="G105" s="91"/>
      <c r="H105" s="68">
        <f t="shared" si="115"/>
        <v>0</v>
      </c>
      <c r="I105" s="68"/>
      <c r="J105" s="91"/>
      <c r="K105" s="91"/>
      <c r="L105" s="68">
        <f t="shared" si="116"/>
        <v>0</v>
      </c>
      <c r="M105" s="68"/>
      <c r="N105" s="91"/>
      <c r="O105" s="91"/>
      <c r="P105" s="68">
        <f t="shared" si="104"/>
        <v>0</v>
      </c>
      <c r="Q105" s="68"/>
      <c r="R105" s="91"/>
      <c r="S105" s="91"/>
      <c r="T105" s="68">
        <f t="shared" si="105"/>
        <v>0</v>
      </c>
      <c r="U105" s="68"/>
      <c r="V105" s="91"/>
      <c r="W105" s="91"/>
      <c r="X105" s="68">
        <f t="shared" si="106"/>
        <v>0</v>
      </c>
      <c r="Y105" s="68"/>
      <c r="Z105" s="91"/>
      <c r="AA105" s="91"/>
      <c r="AB105" s="68">
        <f t="shared" si="107"/>
        <v>0</v>
      </c>
      <c r="AC105" s="68"/>
      <c r="AD105" s="91"/>
      <c r="AE105" s="91"/>
      <c r="AF105" s="68">
        <f t="shared" si="108"/>
        <v>0</v>
      </c>
      <c r="AG105" s="68"/>
      <c r="AH105" s="91"/>
      <c r="AI105" s="91"/>
      <c r="AJ105" s="68">
        <f t="shared" si="127"/>
        <v>0</v>
      </c>
      <c r="AK105" s="68"/>
      <c r="AL105" s="91"/>
      <c r="AM105" s="91"/>
      <c r="AN105" s="68">
        <f t="shared" si="128"/>
        <v>0</v>
      </c>
      <c r="AO105" s="68"/>
      <c r="AP105" s="91"/>
      <c r="AQ105" s="91"/>
      <c r="AR105" s="68">
        <f t="shared" si="129"/>
        <v>0</v>
      </c>
      <c r="AS105" s="68"/>
      <c r="AT105" s="91"/>
      <c r="AU105" s="91"/>
      <c r="AV105" s="68">
        <f t="shared" si="125"/>
        <v>0</v>
      </c>
      <c r="AW105" s="68"/>
      <c r="AX105" s="91"/>
      <c r="AY105" s="91"/>
      <c r="AZ105" s="68">
        <f t="shared" si="126"/>
        <v>0</v>
      </c>
      <c r="BA105" s="68"/>
      <c r="BB105" s="152">
        <f t="shared" si="130"/>
        <v>0</v>
      </c>
      <c r="BC105" s="152">
        <f t="shared" si="132"/>
        <v>0</v>
      </c>
      <c r="BD105" s="200">
        <f t="shared" si="131"/>
        <v>0</v>
      </c>
      <c r="BE105" s="200"/>
    </row>
    <row r="106" spans="1:57" x14ac:dyDescent="0.5">
      <c r="A106" s="67">
        <v>93</v>
      </c>
      <c r="B106" s="81" t="s">
        <v>218</v>
      </c>
      <c r="C106" s="67"/>
      <c r="D106" s="170"/>
      <c r="E106" s="170">
        <f>'งบทดลองส่งรายเดือนปี59-60'!CS98</f>
        <v>0</v>
      </c>
      <c r="F106" s="91"/>
      <c r="G106" s="91"/>
      <c r="H106" s="68">
        <f t="shared" si="115"/>
        <v>0</v>
      </c>
      <c r="I106" s="68">
        <f>E106</f>
        <v>0</v>
      </c>
      <c r="J106" s="91"/>
      <c r="K106" s="91"/>
      <c r="L106" s="68">
        <f t="shared" si="116"/>
        <v>0</v>
      </c>
      <c r="M106" s="68">
        <f>I106</f>
        <v>0</v>
      </c>
      <c r="N106" s="91"/>
      <c r="O106" s="91"/>
      <c r="P106" s="68">
        <f t="shared" si="104"/>
        <v>0</v>
      </c>
      <c r="Q106" s="68">
        <f>M106</f>
        <v>0</v>
      </c>
      <c r="R106" s="91"/>
      <c r="S106" s="91"/>
      <c r="T106" s="68">
        <f t="shared" si="105"/>
        <v>0</v>
      </c>
      <c r="U106" s="68">
        <f>Q106</f>
        <v>0</v>
      </c>
      <c r="V106" s="91"/>
      <c r="W106" s="91"/>
      <c r="X106" s="68">
        <f t="shared" si="106"/>
        <v>0</v>
      </c>
      <c r="Y106" s="68">
        <f>U106</f>
        <v>0</v>
      </c>
      <c r="Z106" s="91"/>
      <c r="AA106" s="91"/>
      <c r="AB106" s="68">
        <f t="shared" si="107"/>
        <v>0</v>
      </c>
      <c r="AC106" s="68">
        <f>Y106</f>
        <v>0</v>
      </c>
      <c r="AD106" s="91"/>
      <c r="AE106" s="91"/>
      <c r="AF106" s="68">
        <f t="shared" si="108"/>
        <v>0</v>
      </c>
      <c r="AG106" s="68">
        <f>AC106</f>
        <v>0</v>
      </c>
      <c r="AH106" s="91"/>
      <c r="AI106" s="91"/>
      <c r="AJ106" s="68">
        <f t="shared" si="127"/>
        <v>0</v>
      </c>
      <c r="AK106" s="68">
        <f>AG106</f>
        <v>0</v>
      </c>
      <c r="AL106" s="91"/>
      <c r="AM106" s="91"/>
      <c r="AN106" s="68">
        <f t="shared" si="128"/>
        <v>0</v>
      </c>
      <c r="AO106" s="68">
        <f>AK106</f>
        <v>0</v>
      </c>
      <c r="AP106" s="91"/>
      <c r="AQ106" s="91"/>
      <c r="AR106" s="68">
        <f t="shared" si="129"/>
        <v>0</v>
      </c>
      <c r="AS106" s="68">
        <f>AO106</f>
        <v>0</v>
      </c>
      <c r="AT106" s="91"/>
      <c r="AU106" s="91"/>
      <c r="AV106" s="68">
        <f t="shared" si="125"/>
        <v>0</v>
      </c>
      <c r="AW106" s="68">
        <f>BE106</f>
        <v>0</v>
      </c>
      <c r="AX106" s="91"/>
      <c r="AY106" s="91"/>
      <c r="AZ106" s="68">
        <f t="shared" si="126"/>
        <v>0</v>
      </c>
      <c r="BA106" s="68">
        <f>BI106</f>
        <v>0</v>
      </c>
      <c r="BB106" s="152">
        <f t="shared" si="130"/>
        <v>0</v>
      </c>
      <c r="BC106" s="152">
        <f t="shared" si="132"/>
        <v>0</v>
      </c>
      <c r="BD106" s="200">
        <f t="shared" si="131"/>
        <v>0</v>
      </c>
      <c r="BE106" s="200">
        <f>AQ106</f>
        <v>0</v>
      </c>
    </row>
    <row r="107" spans="1:57" x14ac:dyDescent="0.5">
      <c r="A107" s="67">
        <v>94</v>
      </c>
      <c r="B107" s="81" t="s">
        <v>188</v>
      </c>
      <c r="C107" s="67"/>
      <c r="D107" s="170"/>
      <c r="E107" s="170"/>
      <c r="F107" s="91"/>
      <c r="G107" s="91"/>
      <c r="H107" s="68">
        <f>D107</f>
        <v>0</v>
      </c>
      <c r="I107" s="68"/>
      <c r="J107" s="91"/>
      <c r="K107" s="91"/>
      <c r="L107" s="68">
        <f>H107</f>
        <v>0</v>
      </c>
      <c r="M107" s="68"/>
      <c r="N107" s="91"/>
      <c r="O107" s="91"/>
      <c r="P107" s="68">
        <f>L107</f>
        <v>0</v>
      </c>
      <c r="Q107" s="68"/>
      <c r="R107" s="91"/>
      <c r="S107" s="91"/>
      <c r="T107" s="68">
        <f>P107</f>
        <v>0</v>
      </c>
      <c r="U107" s="68"/>
      <c r="V107" s="91"/>
      <c r="W107" s="91"/>
      <c r="X107" s="68">
        <f>T107</f>
        <v>0</v>
      </c>
      <c r="Y107" s="68"/>
      <c r="Z107" s="91"/>
      <c r="AA107" s="91"/>
      <c r="AB107" s="68">
        <f>X107</f>
        <v>0</v>
      </c>
      <c r="AC107" s="68"/>
      <c r="AD107" s="91"/>
      <c r="AE107" s="91"/>
      <c r="AF107" s="68">
        <f>AB107</f>
        <v>0</v>
      </c>
      <c r="AG107" s="68"/>
      <c r="AH107" s="91"/>
      <c r="AI107" s="91"/>
      <c r="AJ107" s="68">
        <f>AF107</f>
        <v>0</v>
      </c>
      <c r="AK107" s="68"/>
      <c r="AL107" s="91"/>
      <c r="AM107" s="91"/>
      <c r="AN107" s="68">
        <f>AJ107</f>
        <v>0</v>
      </c>
      <c r="AO107" s="68"/>
      <c r="AP107" s="91"/>
      <c r="AQ107" s="91"/>
      <c r="AR107" s="68">
        <f>AN107</f>
        <v>0</v>
      </c>
      <c r="AS107" s="68"/>
      <c r="AT107" s="91"/>
      <c r="AU107" s="91"/>
      <c r="AV107" s="68">
        <f>BD107</f>
        <v>0</v>
      </c>
      <c r="AW107" s="68"/>
      <c r="AX107" s="91"/>
      <c r="AY107" s="91"/>
      <c r="AZ107" s="68">
        <f>BH107</f>
        <v>0</v>
      </c>
      <c r="BA107" s="68"/>
      <c r="BB107" s="152">
        <f t="shared" si="130"/>
        <v>0</v>
      </c>
      <c r="BC107" s="152">
        <f t="shared" si="132"/>
        <v>0</v>
      </c>
      <c r="BD107" s="200">
        <f>AP107</f>
        <v>0</v>
      </c>
      <c r="BE107" s="200"/>
    </row>
    <row r="108" spans="1:57" x14ac:dyDescent="0.5">
      <c r="A108" s="67">
        <v>95</v>
      </c>
      <c r="B108" s="81" t="s">
        <v>76</v>
      </c>
      <c r="C108" s="67"/>
      <c r="D108" s="170"/>
      <c r="E108" s="170"/>
      <c r="F108" s="117"/>
      <c r="G108" s="91"/>
      <c r="H108" s="68">
        <f>D108+F108-G108</f>
        <v>0</v>
      </c>
      <c r="I108" s="68"/>
      <c r="J108" s="117"/>
      <c r="K108" s="91"/>
      <c r="L108" s="68">
        <f>H108+J108-K108</f>
        <v>0</v>
      </c>
      <c r="M108" s="68"/>
      <c r="N108" s="117"/>
      <c r="O108" s="91"/>
      <c r="P108" s="68">
        <f>L108+N108-O108</f>
        <v>0</v>
      </c>
      <c r="Q108" s="68"/>
      <c r="R108" s="117"/>
      <c r="S108" s="91"/>
      <c r="T108" s="68">
        <f>P108+R108-S108</f>
        <v>0</v>
      </c>
      <c r="U108" s="68"/>
      <c r="V108" s="117"/>
      <c r="W108" s="91"/>
      <c r="X108" s="68">
        <f>T108+V108-W108</f>
        <v>0</v>
      </c>
      <c r="Y108" s="68"/>
      <c r="Z108" s="117"/>
      <c r="AA108" s="91"/>
      <c r="AB108" s="68">
        <f>X108+Z108-AA108</f>
        <v>0</v>
      </c>
      <c r="AC108" s="68"/>
      <c r="AD108" s="117"/>
      <c r="AE108" s="91"/>
      <c r="AF108" s="68">
        <f>AB108+AD108-AE108</f>
        <v>0</v>
      </c>
      <c r="AG108" s="68"/>
      <c r="AH108" s="117"/>
      <c r="AI108" s="91"/>
      <c r="AJ108" s="68">
        <f>AF108+AH108-AI108</f>
        <v>0</v>
      </c>
      <c r="AK108" s="68"/>
      <c r="AL108" s="117"/>
      <c r="AM108" s="91"/>
      <c r="AN108" s="68">
        <f>AJ108+AL108-AM108</f>
        <v>0</v>
      </c>
      <c r="AO108" s="68"/>
      <c r="AP108" s="117"/>
      <c r="AQ108" s="91"/>
      <c r="AR108" s="68">
        <f>AN108+AP108-AQ108</f>
        <v>0</v>
      </c>
      <c r="AS108" s="68"/>
      <c r="AT108" s="117"/>
      <c r="AU108" s="91"/>
      <c r="AV108" s="68">
        <f>BD108+AT108-AU108</f>
        <v>0</v>
      </c>
      <c r="AW108" s="68"/>
      <c r="AX108" s="117"/>
      <c r="AY108" s="91"/>
      <c r="AZ108" s="68">
        <f>BH108+AX108-AY108</f>
        <v>0</v>
      </c>
      <c r="BA108" s="68"/>
      <c r="BB108" s="152">
        <f t="shared" si="130"/>
        <v>0</v>
      </c>
      <c r="BC108" s="152">
        <f t="shared" si="132"/>
        <v>0</v>
      </c>
      <c r="BD108" s="200">
        <f>AP108+AR108-AS108</f>
        <v>0</v>
      </c>
      <c r="BE108" s="200"/>
    </row>
    <row r="109" spans="1:57" x14ac:dyDescent="0.5">
      <c r="A109" s="67">
        <v>96</v>
      </c>
      <c r="B109" s="81" t="s">
        <v>94</v>
      </c>
      <c r="C109" s="67"/>
      <c r="D109" s="170">
        <f>'งบทดลองส่งรายเดือนปี59-60'!CR101+'งบทดลองส่งรายเดือนปี59-60'!CT101-'งบทดลองส่งรายเดือนปี59-60'!CU101</f>
        <v>0</v>
      </c>
      <c r="E109" s="170"/>
      <c r="F109" s="117"/>
      <c r="G109" s="91"/>
      <c r="H109" s="68">
        <f>D109+F109-G109</f>
        <v>0</v>
      </c>
      <c r="I109" s="68"/>
      <c r="J109" s="117"/>
      <c r="K109" s="91"/>
      <c r="L109" s="68">
        <f>H109+J109-K109</f>
        <v>0</v>
      </c>
      <c r="M109" s="68"/>
      <c r="N109" s="117"/>
      <c r="O109" s="91"/>
      <c r="P109" s="68">
        <f>L109+N109-O109</f>
        <v>0</v>
      </c>
      <c r="Q109" s="68"/>
      <c r="R109" s="117"/>
      <c r="S109" s="91"/>
      <c r="T109" s="68">
        <f>P109+R109-S109</f>
        <v>0</v>
      </c>
      <c r="U109" s="68"/>
      <c r="V109" s="117"/>
      <c r="W109" s="91"/>
      <c r="X109" s="68">
        <f>T109+V109-W109</f>
        <v>0</v>
      </c>
      <c r="Y109" s="68"/>
      <c r="Z109" s="117"/>
      <c r="AA109" s="91"/>
      <c r="AB109" s="68">
        <f>X109+Z109-AA109</f>
        <v>0</v>
      </c>
      <c r="AC109" s="68"/>
      <c r="AD109" s="117"/>
      <c r="AE109" s="91"/>
      <c r="AF109" s="68">
        <f>AB109+AD109-AE109</f>
        <v>0</v>
      </c>
      <c r="AG109" s="68"/>
      <c r="AH109" s="117"/>
      <c r="AI109" s="91"/>
      <c r="AJ109" s="68">
        <f>AF109+AH109-AI109</f>
        <v>0</v>
      </c>
      <c r="AK109" s="68"/>
      <c r="AL109" s="117"/>
      <c r="AM109" s="91"/>
      <c r="AN109" s="68">
        <f>AJ109+AL109-AM109</f>
        <v>0</v>
      </c>
      <c r="AO109" s="68"/>
      <c r="AP109" s="117"/>
      <c r="AQ109" s="91"/>
      <c r="AR109" s="68">
        <f>AN109+AP109-AQ109</f>
        <v>0</v>
      </c>
      <c r="AS109" s="68"/>
      <c r="AT109" s="117"/>
      <c r="AU109" s="91"/>
      <c r="AV109" s="68">
        <f>BD109+AT109-AU109</f>
        <v>0</v>
      </c>
      <c r="AW109" s="68"/>
      <c r="AX109" s="117"/>
      <c r="AY109" s="91"/>
      <c r="AZ109" s="68">
        <f>BH109+AX109-AY109</f>
        <v>0</v>
      </c>
      <c r="BA109" s="68"/>
      <c r="BB109" s="152">
        <f t="shared" si="130"/>
        <v>0</v>
      </c>
      <c r="BC109" s="152">
        <f t="shared" si="132"/>
        <v>0</v>
      </c>
      <c r="BD109" s="200">
        <f>AP109+AR109-AS109</f>
        <v>0</v>
      </c>
      <c r="BE109" s="200"/>
    </row>
    <row r="110" spans="1:57" x14ac:dyDescent="0.5">
      <c r="A110" s="67">
        <v>97</v>
      </c>
      <c r="B110" s="81" t="s">
        <v>138</v>
      </c>
      <c r="C110" s="67"/>
      <c r="D110" s="170">
        <v>180900</v>
      </c>
      <c r="E110" s="170"/>
      <c r="F110" s="91"/>
      <c r="G110" s="91"/>
      <c r="H110" s="68">
        <f>D110+F110-G110</f>
        <v>180900</v>
      </c>
      <c r="I110" s="68"/>
      <c r="J110" s="91"/>
      <c r="K110" s="91"/>
      <c r="L110" s="68">
        <f>H110+J110-K110</f>
        <v>180900</v>
      </c>
      <c r="M110" s="68"/>
      <c r="N110" s="91"/>
      <c r="O110" s="91"/>
      <c r="P110" s="68">
        <f>L110+N110-O110</f>
        <v>180900</v>
      </c>
      <c r="Q110" s="68"/>
      <c r="R110" s="91"/>
      <c r="S110" s="91"/>
      <c r="T110" s="68">
        <f>P110+R110-S110</f>
        <v>180900</v>
      </c>
      <c r="U110" s="68"/>
      <c r="V110" s="91"/>
      <c r="W110" s="91"/>
      <c r="X110" s="68">
        <f>T110+V110-W110</f>
        <v>180900</v>
      </c>
      <c r="Y110" s="68"/>
      <c r="Z110" s="91"/>
      <c r="AA110" s="91"/>
      <c r="AB110" s="68">
        <f>X110+Z110-AA110</f>
        <v>180900</v>
      </c>
      <c r="AC110" s="68"/>
      <c r="AD110" s="91"/>
      <c r="AE110" s="91"/>
      <c r="AF110" s="68">
        <f>AB110+AD110-AE110</f>
        <v>180900</v>
      </c>
      <c r="AG110" s="68"/>
      <c r="AH110" s="91"/>
      <c r="AI110" s="91"/>
      <c r="AJ110" s="68">
        <f>AF110+AH110-AI110</f>
        <v>180900</v>
      </c>
      <c r="AK110" s="68"/>
      <c r="AL110" s="91"/>
      <c r="AM110" s="91"/>
      <c r="AN110" s="68">
        <f>AJ110+AL110-AM110</f>
        <v>180900</v>
      </c>
      <c r="AO110" s="68"/>
      <c r="AP110" s="91"/>
      <c r="AQ110" s="91"/>
      <c r="AR110" s="68">
        <f>AN110+AP110-AQ110</f>
        <v>180900</v>
      </c>
      <c r="AS110" s="68"/>
      <c r="AT110" s="91"/>
      <c r="AU110" s="91"/>
      <c r="AV110" s="68">
        <f>BD110+AT110-AU110</f>
        <v>180900</v>
      </c>
      <c r="AW110" s="68"/>
      <c r="AX110" s="91"/>
      <c r="AY110" s="91"/>
      <c r="AZ110" s="68">
        <f>AV110</f>
        <v>180900</v>
      </c>
      <c r="BA110" s="68"/>
      <c r="BB110" s="152"/>
      <c r="BC110" s="152">
        <f t="shared" si="132"/>
        <v>0</v>
      </c>
      <c r="BD110" s="200">
        <f>AR110</f>
        <v>180900</v>
      </c>
      <c r="BE110" s="200"/>
    </row>
    <row r="111" spans="1:57" x14ac:dyDescent="0.5">
      <c r="A111" s="67">
        <v>98</v>
      </c>
      <c r="B111" s="81" t="s">
        <v>11</v>
      </c>
      <c r="C111" s="67"/>
      <c r="D111" s="170"/>
      <c r="E111" s="170"/>
      <c r="F111" s="91"/>
      <c r="G111" s="91"/>
      <c r="H111" s="68">
        <f>+D111+F111-G111</f>
        <v>0</v>
      </c>
      <c r="I111" s="68"/>
      <c r="J111" s="91"/>
      <c r="K111" s="91"/>
      <c r="L111" s="68">
        <f>+H111+J111-K111</f>
        <v>0</v>
      </c>
      <c r="M111" s="68"/>
      <c r="N111" s="91"/>
      <c r="O111" s="91"/>
      <c r="P111" s="68">
        <f>+L111+N111-O111</f>
        <v>0</v>
      </c>
      <c r="Q111" s="68"/>
      <c r="R111" s="91"/>
      <c r="S111" s="91"/>
      <c r="T111" s="68">
        <f>+P111+R111-S111</f>
        <v>0</v>
      </c>
      <c r="U111" s="68"/>
      <c r="V111" s="91"/>
      <c r="W111" s="91"/>
      <c r="X111" s="68">
        <f>+T111+V111-W111</f>
        <v>0</v>
      </c>
      <c r="Y111" s="68"/>
      <c r="Z111" s="91"/>
      <c r="AA111" s="91"/>
      <c r="AB111" s="68">
        <f>+X111+Z111-AA111</f>
        <v>0</v>
      </c>
      <c r="AC111" s="68"/>
      <c r="AD111" s="91"/>
      <c r="AE111" s="91"/>
      <c r="AF111" s="68">
        <f>+AB111+AD111-AE111</f>
        <v>0</v>
      </c>
      <c r="AG111" s="68"/>
      <c r="AH111" s="91"/>
      <c r="AI111" s="91"/>
      <c r="AJ111" s="68">
        <f>+AF111+AH111-AI111</f>
        <v>0</v>
      </c>
      <c r="AK111" s="68"/>
      <c r="AL111" s="91"/>
      <c r="AM111" s="91"/>
      <c r="AN111" s="68">
        <f>+AJ111+AL111-AM111</f>
        <v>0</v>
      </c>
      <c r="AO111" s="68"/>
      <c r="AP111" s="91"/>
      <c r="AQ111" s="91"/>
      <c r="AR111" s="68">
        <f>+AN111+AP111-AQ111</f>
        <v>0</v>
      </c>
      <c r="AS111" s="68"/>
      <c r="AT111" s="91"/>
      <c r="AU111" s="91"/>
      <c r="AV111" s="68">
        <f>+BD111+AT111-AU111</f>
        <v>0</v>
      </c>
      <c r="AW111" s="68"/>
      <c r="AX111" s="91"/>
      <c r="AY111" s="91"/>
      <c r="AZ111" s="68">
        <f>+BH111+AX111-AY111</f>
        <v>0</v>
      </c>
      <c r="BA111" s="68"/>
      <c r="BB111" s="152">
        <f t="shared" si="130"/>
        <v>0</v>
      </c>
      <c r="BC111" s="152">
        <f t="shared" si="132"/>
        <v>0</v>
      </c>
      <c r="BD111" s="200">
        <f>+AP111+AR111-AS111</f>
        <v>0</v>
      </c>
      <c r="BE111" s="200"/>
    </row>
    <row r="112" spans="1:57" x14ac:dyDescent="0.5">
      <c r="A112" s="67">
        <v>99</v>
      </c>
      <c r="B112" s="81" t="s">
        <v>219</v>
      </c>
      <c r="C112" s="67"/>
      <c r="D112" s="170">
        <v>476412.7</v>
      </c>
      <c r="E112" s="170"/>
      <c r="F112" s="91"/>
      <c r="G112" s="91"/>
      <c r="H112" s="68">
        <f>D112</f>
        <v>476412.7</v>
      </c>
      <c r="I112" s="68">
        <f>+E112</f>
        <v>0</v>
      </c>
      <c r="J112" s="91"/>
      <c r="K112" s="91"/>
      <c r="L112" s="68">
        <f>H112</f>
        <v>476412.7</v>
      </c>
      <c r="M112" s="68">
        <f>+I112</f>
        <v>0</v>
      </c>
      <c r="N112" s="91"/>
      <c r="O112" s="91"/>
      <c r="P112" s="68">
        <f>L112</f>
        <v>476412.7</v>
      </c>
      <c r="Q112" s="68">
        <f>+M112</f>
        <v>0</v>
      </c>
      <c r="R112" s="91"/>
      <c r="S112" s="91"/>
      <c r="T112" s="68">
        <f>P112</f>
        <v>476412.7</v>
      </c>
      <c r="U112" s="68">
        <f>+Q112</f>
        <v>0</v>
      </c>
      <c r="V112" s="91"/>
      <c r="W112" s="91"/>
      <c r="X112" s="68">
        <f>T112</f>
        <v>476412.7</v>
      </c>
      <c r="Y112" s="68">
        <f>+U112</f>
        <v>0</v>
      </c>
      <c r="Z112" s="91"/>
      <c r="AA112" s="91"/>
      <c r="AB112" s="68">
        <f>X112</f>
        <v>476412.7</v>
      </c>
      <c r="AC112" s="68">
        <f>+Y112</f>
        <v>0</v>
      </c>
      <c r="AD112" s="91"/>
      <c r="AE112" s="91"/>
      <c r="AF112" s="68">
        <f>AB112</f>
        <v>476412.7</v>
      </c>
      <c r="AG112" s="68">
        <f>+AC112</f>
        <v>0</v>
      </c>
      <c r="AH112" s="91"/>
      <c r="AI112" s="91"/>
      <c r="AJ112" s="68">
        <f>AF112</f>
        <v>476412.7</v>
      </c>
      <c r="AK112" s="68">
        <f>+AG112</f>
        <v>0</v>
      </c>
      <c r="AL112" s="91"/>
      <c r="AM112" s="91"/>
      <c r="AN112" s="68">
        <f>AJ112</f>
        <v>476412.7</v>
      </c>
      <c r="AO112" s="68">
        <f>+AK112</f>
        <v>0</v>
      </c>
      <c r="AP112" s="91"/>
      <c r="AQ112" s="91"/>
      <c r="AR112" s="68">
        <f>AN112</f>
        <v>476412.7</v>
      </c>
      <c r="AS112" s="68">
        <f>+AO112</f>
        <v>0</v>
      </c>
      <c r="AT112" s="91"/>
      <c r="AU112" s="91"/>
      <c r="AV112" s="68">
        <f>BD112</f>
        <v>476412.7</v>
      </c>
      <c r="AW112" s="68">
        <f>+BE112</f>
        <v>0</v>
      </c>
      <c r="AX112" s="91"/>
      <c r="AY112" s="91"/>
      <c r="AZ112" s="68">
        <f>AV112</f>
        <v>476412.7</v>
      </c>
      <c r="BA112" s="68">
        <f>+BI112</f>
        <v>0</v>
      </c>
      <c r="BB112" s="152"/>
      <c r="BC112" s="152">
        <f t="shared" si="132"/>
        <v>0</v>
      </c>
      <c r="BD112" s="200">
        <f>AR112</f>
        <v>476412.7</v>
      </c>
      <c r="BE112" s="200">
        <f>+AQ112</f>
        <v>0</v>
      </c>
    </row>
    <row r="113" spans="1:57" x14ac:dyDescent="0.5">
      <c r="A113" s="59"/>
      <c r="B113" s="159" t="s">
        <v>192</v>
      </c>
      <c r="C113" s="58"/>
      <c r="D113" s="171">
        <f t="shared" ref="D113:AK113" si="133">SUM(D8:D112)</f>
        <v>9429339.4800000004</v>
      </c>
      <c r="E113" s="171">
        <f t="shared" si="133"/>
        <v>9429339.4800000004</v>
      </c>
      <c r="F113" s="149">
        <f t="shared" si="133"/>
        <v>204543.12</v>
      </c>
      <c r="G113" s="149">
        <f t="shared" si="133"/>
        <v>204543.12000000002</v>
      </c>
      <c r="H113" s="148">
        <f t="shared" si="133"/>
        <v>9431037.2199999988</v>
      </c>
      <c r="I113" s="148">
        <f t="shared" si="133"/>
        <v>9431037.2199999988</v>
      </c>
      <c r="J113" s="149">
        <f t="shared" si="133"/>
        <v>131282.91999999998</v>
      </c>
      <c r="K113" s="149">
        <f t="shared" si="133"/>
        <v>131282.92000000001</v>
      </c>
      <c r="L113" s="148">
        <f t="shared" si="133"/>
        <v>9429286.4299999978</v>
      </c>
      <c r="M113" s="148">
        <f t="shared" si="133"/>
        <v>9429286.4299999997</v>
      </c>
      <c r="N113" s="149">
        <f t="shared" si="133"/>
        <v>245765.62</v>
      </c>
      <c r="O113" s="149">
        <f t="shared" si="133"/>
        <v>245765.62</v>
      </c>
      <c r="P113" s="148">
        <f t="shared" si="133"/>
        <v>9435797.6699999999</v>
      </c>
      <c r="Q113" s="148">
        <f t="shared" si="133"/>
        <v>9435797.6700000018</v>
      </c>
      <c r="R113" s="149">
        <f t="shared" si="133"/>
        <v>32959.380000000005</v>
      </c>
      <c r="S113" s="149">
        <f t="shared" si="133"/>
        <v>32959.379999999997</v>
      </c>
      <c r="T113" s="148">
        <f t="shared" si="133"/>
        <v>9436422.3299999982</v>
      </c>
      <c r="U113" s="148">
        <f t="shared" si="133"/>
        <v>9436422.3300000001</v>
      </c>
      <c r="V113" s="149">
        <f t="shared" si="133"/>
        <v>404107.08</v>
      </c>
      <c r="W113" s="149">
        <f t="shared" si="133"/>
        <v>404107.08</v>
      </c>
      <c r="X113" s="148">
        <f t="shared" si="133"/>
        <v>9453744.8800000008</v>
      </c>
      <c r="Y113" s="148">
        <f t="shared" si="133"/>
        <v>9453744.8800000008</v>
      </c>
      <c r="Z113" s="149">
        <f t="shared" si="133"/>
        <v>158019.28</v>
      </c>
      <c r="AA113" s="149">
        <f t="shared" si="133"/>
        <v>158019.27999999997</v>
      </c>
      <c r="AB113" s="148">
        <f t="shared" si="133"/>
        <v>9444999.7299999986</v>
      </c>
      <c r="AC113" s="148">
        <f t="shared" si="133"/>
        <v>9444999.7299999986</v>
      </c>
      <c r="AD113" s="149">
        <f>SUM(AD8:AD112)</f>
        <v>17626</v>
      </c>
      <c r="AE113" s="149">
        <f t="shared" si="133"/>
        <v>17626</v>
      </c>
      <c r="AF113" s="148">
        <f t="shared" si="133"/>
        <v>9445289.7299999986</v>
      </c>
      <c r="AG113" s="148">
        <f t="shared" si="133"/>
        <v>9445289.7299999986</v>
      </c>
      <c r="AH113" s="149">
        <f t="shared" si="133"/>
        <v>458025.24000000005</v>
      </c>
      <c r="AI113" s="149">
        <f t="shared" si="133"/>
        <v>458025.24</v>
      </c>
      <c r="AJ113" s="148">
        <f t="shared" si="133"/>
        <v>9621941.6899999976</v>
      </c>
      <c r="AK113" s="148">
        <f t="shared" si="133"/>
        <v>9621941.6900000013</v>
      </c>
      <c r="AL113" s="149">
        <f t="shared" ref="AL113:AO113" si="134">SUM(AL8:AL112)</f>
        <v>592489.65</v>
      </c>
      <c r="AM113" s="149">
        <f t="shared" si="134"/>
        <v>592489.65</v>
      </c>
      <c r="AN113" s="148">
        <f t="shared" si="134"/>
        <v>9656898.9299999997</v>
      </c>
      <c r="AO113" s="148">
        <f t="shared" si="134"/>
        <v>9656898.9300000016</v>
      </c>
      <c r="AP113" s="149">
        <f t="shared" ref="AP113:BC113" si="135">SUM(AP8:AP112)</f>
        <v>426181.15</v>
      </c>
      <c r="AQ113" s="149">
        <f t="shared" si="135"/>
        <v>426181.14999999991</v>
      </c>
      <c r="AR113" s="148">
        <f t="shared" si="135"/>
        <v>9697885.5800000001</v>
      </c>
      <c r="AS113" s="148">
        <f t="shared" si="135"/>
        <v>9697885.5800000019</v>
      </c>
      <c r="AT113" s="149">
        <f t="shared" ref="AT113:BB113" si="136">SUM(AT8:AT112)</f>
        <v>909753.75999999989</v>
      </c>
      <c r="AU113" s="149">
        <f t="shared" si="136"/>
        <v>909753.76</v>
      </c>
      <c r="AV113" s="148">
        <f t="shared" si="136"/>
        <v>9742724.3100000005</v>
      </c>
      <c r="AW113" s="148">
        <f t="shared" si="136"/>
        <v>9742724.3100000005</v>
      </c>
      <c r="AX113" s="149">
        <f t="shared" si="136"/>
        <v>1107463.02</v>
      </c>
      <c r="AY113" s="149">
        <f t="shared" si="136"/>
        <v>1107463.0200000003</v>
      </c>
      <c r="AZ113" s="148">
        <f t="shared" si="136"/>
        <v>9810641.1899999995</v>
      </c>
      <c r="BA113" s="148">
        <f t="shared" si="136"/>
        <v>9810641.1899999995</v>
      </c>
      <c r="BB113" s="154">
        <f t="shared" si="136"/>
        <v>4688216.2200000007</v>
      </c>
      <c r="BC113" s="154">
        <f t="shared" si="135"/>
        <v>4688216.2200000007</v>
      </c>
      <c r="BD113" s="202">
        <f>SUM(BD8:BD112)</f>
        <v>9810641.1899999995</v>
      </c>
      <c r="BE113" s="202">
        <f>SUM(BE8:BE112)</f>
        <v>9810641.1899999995</v>
      </c>
    </row>
    <row r="114" spans="1:57" x14ac:dyDescent="0.5">
      <c r="D114" s="172"/>
      <c r="E114" s="173"/>
      <c r="H114" s="112"/>
      <c r="I114" s="113"/>
      <c r="L114" s="112"/>
      <c r="M114" s="113"/>
      <c r="P114" s="112"/>
      <c r="Q114" s="113"/>
      <c r="T114" s="112"/>
      <c r="U114" s="113"/>
      <c r="X114" s="112"/>
      <c r="Y114" s="113"/>
      <c r="AB114" s="112"/>
      <c r="AC114" s="113"/>
      <c r="AF114" s="112"/>
      <c r="AG114" s="113"/>
      <c r="AJ114" s="112"/>
      <c r="AK114" s="113"/>
      <c r="AN114" s="112"/>
      <c r="AO114" s="113"/>
      <c r="AR114" s="112"/>
      <c r="AS114" s="113"/>
      <c r="AV114" s="112"/>
      <c r="AW114" s="113"/>
      <c r="AZ114" s="112"/>
      <c r="BA114" s="113"/>
      <c r="BB114" s="113"/>
      <c r="BC114" s="113">
        <f>BB113-BC113</f>
        <v>0</v>
      </c>
      <c r="BD114" s="203"/>
      <c r="BE114" s="204">
        <f>BD113-BE113</f>
        <v>0</v>
      </c>
    </row>
    <row r="115" spans="1:57" ht="24" x14ac:dyDescent="0.55000000000000004">
      <c r="D115" s="174"/>
      <c r="E115" s="191">
        <f>D113-E113</f>
        <v>0</v>
      </c>
      <c r="H115" s="163"/>
      <c r="I115" s="163"/>
      <c r="L115" s="164"/>
      <c r="M115" s="164"/>
      <c r="P115" s="165"/>
      <c r="Q115" s="165"/>
      <c r="T115" s="166"/>
      <c r="U115" s="166"/>
      <c r="X115" s="167"/>
      <c r="Y115" s="167"/>
      <c r="AB115" s="168"/>
      <c r="AC115" s="168"/>
      <c r="AF115" s="179"/>
      <c r="AG115" s="179"/>
      <c r="AJ115" s="195"/>
      <c r="AK115" s="195"/>
      <c r="AN115" s="196"/>
      <c r="AO115" s="196"/>
      <c r="AR115" s="197"/>
      <c r="AS115" s="197"/>
      <c r="AV115" s="209"/>
      <c r="AW115" s="192">
        <f>AV113-AW113</f>
        <v>0</v>
      </c>
      <c r="AY115" s="212">
        <f>AY113-AX113</f>
        <v>0</v>
      </c>
      <c r="AZ115" s="211"/>
      <c r="BA115" s="192">
        <f>AZ113-BA113</f>
        <v>0</v>
      </c>
      <c r="BB115" s="198"/>
      <c r="BC115" s="198"/>
      <c r="BD115" s="205"/>
      <c r="BE115" s="205"/>
    </row>
    <row r="116" spans="1:57" ht="24" x14ac:dyDescent="0.55000000000000004">
      <c r="D116" s="174"/>
      <c r="E116" s="174"/>
      <c r="H116" s="163"/>
      <c r="I116" s="192">
        <f>H113-I113</f>
        <v>0</v>
      </c>
      <c r="L116" s="164"/>
      <c r="M116" s="164"/>
      <c r="P116" s="165"/>
      <c r="Q116" s="165"/>
      <c r="T116" s="166"/>
      <c r="U116" s="166"/>
      <c r="X116" s="167"/>
      <c r="Y116" s="167"/>
      <c r="AB116" s="168"/>
      <c r="AC116" s="168"/>
      <c r="AF116" s="179"/>
      <c r="AG116" s="179"/>
      <c r="AJ116" s="195"/>
      <c r="AK116" s="195"/>
      <c r="AN116" s="196"/>
      <c r="AO116" s="196"/>
      <c r="AR116" s="197"/>
      <c r="AS116" s="197"/>
      <c r="AV116" s="209"/>
      <c r="AW116" s="209"/>
      <c r="AZ116" s="211"/>
      <c r="BA116" s="211"/>
      <c r="BB116" s="198"/>
      <c r="BC116" s="198"/>
      <c r="BD116" s="205"/>
      <c r="BE116" s="205"/>
    </row>
    <row r="117" spans="1:57" ht="24" x14ac:dyDescent="0.55000000000000004">
      <c r="D117" s="174"/>
      <c r="E117" s="174"/>
      <c r="H117" s="163"/>
      <c r="I117" s="163"/>
      <c r="L117" s="164"/>
      <c r="M117" s="164"/>
      <c r="P117" s="165"/>
      <c r="Q117" s="165"/>
      <c r="T117" s="166"/>
      <c r="U117" s="166"/>
      <c r="X117" s="167"/>
      <c r="Y117" s="167"/>
      <c r="AB117" s="168"/>
      <c r="AC117" s="168"/>
      <c r="AF117" s="179"/>
      <c r="AG117" s="179"/>
      <c r="AJ117" s="195"/>
      <c r="AK117" s="195"/>
      <c r="AN117" s="196"/>
      <c r="AO117" s="196"/>
      <c r="AR117" s="197"/>
      <c r="AS117" s="197"/>
      <c r="AV117" s="209"/>
      <c r="AW117" s="209"/>
      <c r="AZ117" s="211"/>
      <c r="BA117" s="211"/>
      <c r="BB117" s="198"/>
      <c r="BC117" s="198"/>
      <c r="BD117" s="205"/>
      <c r="BE117" s="205"/>
    </row>
    <row r="118" spans="1:57" x14ac:dyDescent="0.5">
      <c r="D118" s="175"/>
      <c r="E118" s="175"/>
      <c r="H118" s="16"/>
      <c r="I118" s="16"/>
      <c r="L118" s="16"/>
      <c r="M118" s="16"/>
      <c r="P118" s="16"/>
      <c r="Q118" s="16"/>
      <c r="T118" s="16"/>
      <c r="U118" s="16"/>
      <c r="X118" s="16"/>
      <c r="Y118" s="16"/>
      <c r="AB118" s="16"/>
      <c r="AC118" s="16"/>
      <c r="AF118" s="16"/>
      <c r="AG118" s="16"/>
      <c r="AJ118" s="16"/>
      <c r="AK118" s="16"/>
      <c r="AN118" s="16"/>
      <c r="AO118" s="16"/>
      <c r="AR118" s="16"/>
      <c r="AS118" s="16"/>
      <c r="AV118" s="16"/>
      <c r="AW118" s="16"/>
      <c r="AZ118" s="16"/>
      <c r="BA118" s="16"/>
      <c r="BB118" s="16"/>
      <c r="BC118" s="16"/>
      <c r="BD118" s="206"/>
      <c r="BE118" s="206"/>
    </row>
    <row r="119" spans="1:57" x14ac:dyDescent="0.5">
      <c r="D119" s="176"/>
      <c r="E119" s="176"/>
      <c r="H119" s="13"/>
      <c r="I119" s="13"/>
      <c r="L119" s="13"/>
      <c r="M119" s="13"/>
      <c r="P119" s="13"/>
      <c r="Q119" s="13"/>
      <c r="T119" s="13"/>
      <c r="U119" s="13"/>
      <c r="X119" s="13"/>
      <c r="Y119" s="13"/>
      <c r="AB119" s="13"/>
      <c r="AC119" s="13"/>
      <c r="AF119" s="13"/>
      <c r="AG119" s="13"/>
      <c r="AJ119" s="13"/>
      <c r="AK119" s="13"/>
      <c r="AN119" s="13"/>
      <c r="AO119" s="13"/>
      <c r="AR119" s="13"/>
      <c r="AS119" s="13"/>
      <c r="AV119" s="13"/>
      <c r="AW119" s="13"/>
      <c r="AZ119" s="13"/>
      <c r="BA119" s="13"/>
      <c r="BB119" s="13"/>
      <c r="BC119" s="13"/>
      <c r="BD119" s="207"/>
      <c r="BE119" s="207"/>
    </row>
    <row r="120" spans="1:57" x14ac:dyDescent="0.5">
      <c r="D120" s="176"/>
      <c r="E120" s="176"/>
      <c r="H120" s="13"/>
      <c r="I120" s="13"/>
      <c r="L120" s="13"/>
      <c r="M120" s="13"/>
      <c r="P120" s="13"/>
      <c r="Q120" s="13"/>
      <c r="T120" s="13"/>
      <c r="U120" s="13"/>
      <c r="X120" s="13"/>
      <c r="Y120" s="13"/>
      <c r="AB120" s="13"/>
      <c r="AC120" s="13"/>
      <c r="AF120" s="13"/>
      <c r="AG120" s="13"/>
      <c r="AJ120" s="13"/>
      <c r="AK120" s="13"/>
      <c r="AN120" s="13"/>
      <c r="AO120" s="13"/>
      <c r="AR120" s="13"/>
      <c r="AS120" s="13"/>
      <c r="AV120" s="13"/>
      <c r="AW120" s="13"/>
      <c r="AZ120" s="13"/>
      <c r="BA120" s="13"/>
      <c r="BB120" s="13"/>
      <c r="BC120" s="13"/>
      <c r="BD120" s="207"/>
      <c r="BE120" s="207"/>
    </row>
    <row r="121" spans="1:57" x14ac:dyDescent="0.5">
      <c r="D121" s="176"/>
      <c r="E121" s="176"/>
      <c r="H121" s="13"/>
      <c r="I121" s="13"/>
      <c r="L121" s="13"/>
      <c r="M121" s="13"/>
      <c r="P121" s="13"/>
      <c r="Q121" s="13"/>
      <c r="T121" s="13"/>
      <c r="U121" s="13"/>
      <c r="X121" s="13"/>
      <c r="Y121" s="13"/>
      <c r="AB121" s="13"/>
      <c r="AC121" s="13"/>
      <c r="AF121" s="13"/>
      <c r="AG121" s="13"/>
      <c r="AJ121" s="13"/>
      <c r="AK121" s="13"/>
      <c r="AN121" s="13"/>
      <c r="AO121" s="13"/>
      <c r="AR121" s="13"/>
      <c r="AS121" s="13"/>
      <c r="AV121" s="13"/>
      <c r="AW121" s="13"/>
      <c r="AZ121" s="13"/>
      <c r="BA121" s="13"/>
      <c r="BB121" s="13"/>
      <c r="BC121" s="13"/>
      <c r="BD121" s="207"/>
      <c r="BE121" s="207"/>
    </row>
    <row r="122" spans="1:57" x14ac:dyDescent="0.5">
      <c r="D122" s="176"/>
      <c r="E122" s="176"/>
      <c r="H122" s="13"/>
      <c r="I122" s="13"/>
      <c r="L122" s="13"/>
      <c r="M122" s="13"/>
      <c r="P122" s="13"/>
      <c r="Q122" s="13"/>
      <c r="T122" s="13"/>
      <c r="U122" s="13"/>
      <c r="X122" s="13"/>
      <c r="Y122" s="13"/>
      <c r="AB122" s="13"/>
      <c r="AC122" s="13"/>
      <c r="AF122" s="13"/>
      <c r="AG122" s="13"/>
      <c r="AJ122" s="13"/>
      <c r="AK122" s="13"/>
      <c r="AN122" s="13"/>
      <c r="AO122" s="13"/>
      <c r="AR122" s="13"/>
      <c r="AS122" s="13"/>
      <c r="AV122" s="13"/>
      <c r="AW122" s="13"/>
      <c r="AZ122" s="13"/>
      <c r="BA122" s="13"/>
      <c r="BB122" s="13"/>
      <c r="BC122" s="13"/>
      <c r="BD122" s="207"/>
      <c r="BE122" s="207"/>
    </row>
    <row r="123" spans="1:57" x14ac:dyDescent="0.5">
      <c r="D123" s="176"/>
      <c r="E123" s="176"/>
      <c r="H123" s="13"/>
      <c r="I123" s="13"/>
      <c r="L123" s="13"/>
      <c r="M123" s="13"/>
      <c r="P123" s="13"/>
      <c r="Q123" s="13"/>
      <c r="T123" s="13"/>
      <c r="U123" s="13"/>
      <c r="X123" s="13"/>
      <c r="Y123" s="13"/>
      <c r="AB123" s="13"/>
      <c r="AC123" s="13"/>
      <c r="AF123" s="13"/>
      <c r="AG123" s="13"/>
      <c r="AJ123" s="13"/>
      <c r="AK123" s="13"/>
      <c r="AN123" s="13"/>
      <c r="AO123" s="13"/>
      <c r="AR123" s="13"/>
      <c r="AS123" s="13"/>
      <c r="AV123" s="13"/>
      <c r="AW123" s="13"/>
      <c r="AZ123" s="13"/>
      <c r="BA123" s="13"/>
      <c r="BB123" s="13"/>
      <c r="BC123" s="13"/>
      <c r="BD123" s="207"/>
      <c r="BE123" s="207"/>
    </row>
    <row r="124" spans="1:57" x14ac:dyDescent="0.5">
      <c r="D124" s="176"/>
      <c r="E124" s="176"/>
      <c r="H124" s="13"/>
      <c r="I124" s="13"/>
      <c r="L124" s="13"/>
      <c r="M124" s="13"/>
      <c r="P124" s="13"/>
      <c r="Q124" s="13"/>
      <c r="T124" s="13"/>
      <c r="U124" s="13"/>
      <c r="X124" s="13"/>
      <c r="Y124" s="13"/>
      <c r="AB124" s="13"/>
      <c r="AC124" s="13"/>
      <c r="AF124" s="13"/>
      <c r="AG124" s="13"/>
      <c r="AJ124" s="13"/>
      <c r="AK124" s="13"/>
      <c r="AN124" s="13"/>
      <c r="AO124" s="13"/>
      <c r="AR124" s="13"/>
      <c r="AS124" s="13"/>
      <c r="AV124" s="13"/>
      <c r="AW124" s="13"/>
      <c r="AZ124" s="13"/>
      <c r="BA124" s="13"/>
      <c r="BB124" s="13"/>
      <c r="BC124" s="13"/>
      <c r="BD124" s="207"/>
      <c r="BE124" s="207"/>
    </row>
    <row r="125" spans="1:57" x14ac:dyDescent="0.5">
      <c r="D125" s="176"/>
      <c r="E125" s="176"/>
      <c r="H125" s="13"/>
      <c r="I125" s="13"/>
      <c r="L125" s="13"/>
      <c r="M125" s="13"/>
      <c r="P125" s="13"/>
      <c r="Q125" s="13"/>
      <c r="T125" s="13"/>
      <c r="U125" s="13"/>
      <c r="X125" s="13"/>
      <c r="Y125" s="13"/>
      <c r="AB125" s="13"/>
      <c r="AC125" s="13"/>
      <c r="AF125" s="13"/>
      <c r="AG125" s="13"/>
      <c r="AJ125" s="13"/>
      <c r="AK125" s="13"/>
      <c r="AN125" s="13"/>
      <c r="AO125" s="13"/>
      <c r="AR125" s="13"/>
      <c r="AS125" s="13"/>
      <c r="AV125" s="13"/>
      <c r="AW125" s="13"/>
      <c r="AZ125" s="13"/>
      <c r="BA125" s="13"/>
      <c r="BB125" s="13"/>
      <c r="BC125" s="13"/>
      <c r="BD125" s="207"/>
      <c r="BE125" s="207"/>
    </row>
    <row r="126" spans="1:57" x14ac:dyDescent="0.5">
      <c r="D126" s="176"/>
      <c r="E126" s="176"/>
      <c r="H126" s="13"/>
      <c r="I126" s="13"/>
      <c r="L126" s="13"/>
      <c r="M126" s="13"/>
      <c r="P126" s="13"/>
      <c r="Q126" s="13"/>
      <c r="T126" s="13"/>
      <c r="U126" s="13"/>
      <c r="X126" s="13"/>
      <c r="Y126" s="13"/>
      <c r="AB126" s="13"/>
      <c r="AC126" s="13"/>
      <c r="AF126" s="13"/>
      <c r="AG126" s="13"/>
      <c r="AJ126" s="13"/>
      <c r="AK126" s="13"/>
      <c r="AN126" s="13"/>
      <c r="AO126" s="13"/>
      <c r="AR126" s="13"/>
      <c r="AS126" s="13"/>
      <c r="AV126" s="13"/>
      <c r="AW126" s="13"/>
      <c r="AZ126" s="13"/>
      <c r="BA126" s="13"/>
      <c r="BB126" s="13"/>
      <c r="BC126" s="13"/>
      <c r="BD126" s="207"/>
      <c r="BE126" s="207"/>
    </row>
    <row r="127" spans="1:57" x14ac:dyDescent="0.5">
      <c r="D127" s="176"/>
      <c r="E127" s="176"/>
      <c r="H127" s="13"/>
      <c r="I127" s="13"/>
      <c r="L127" s="13"/>
      <c r="M127" s="13"/>
      <c r="P127" s="13"/>
      <c r="Q127" s="13"/>
      <c r="T127" s="13"/>
      <c r="U127" s="13"/>
      <c r="X127" s="13"/>
      <c r="Y127" s="13"/>
      <c r="AB127" s="13"/>
      <c r="AC127" s="13"/>
      <c r="AF127" s="13"/>
      <c r="AG127" s="13"/>
      <c r="AJ127" s="13"/>
      <c r="AK127" s="13"/>
      <c r="AN127" s="13"/>
      <c r="AO127" s="13"/>
      <c r="AR127" s="13"/>
      <c r="AS127" s="13"/>
      <c r="AV127" s="13"/>
      <c r="AW127" s="13"/>
      <c r="AZ127" s="13"/>
      <c r="BA127" s="13"/>
      <c r="BB127" s="13"/>
      <c r="BC127" s="13"/>
      <c r="BD127" s="207"/>
      <c r="BE127" s="207"/>
    </row>
    <row r="128" spans="1:57" x14ac:dyDescent="0.5">
      <c r="D128" s="176"/>
      <c r="E128" s="176"/>
      <c r="H128" s="13"/>
      <c r="I128" s="13"/>
      <c r="L128" s="13"/>
      <c r="M128" s="13"/>
      <c r="P128" s="13"/>
      <c r="Q128" s="13"/>
      <c r="T128" s="13"/>
      <c r="U128" s="13"/>
      <c r="X128" s="13"/>
      <c r="Y128" s="13"/>
      <c r="AB128" s="13"/>
      <c r="AC128" s="13"/>
      <c r="AF128" s="13"/>
      <c r="AG128" s="13"/>
      <c r="AJ128" s="13"/>
      <c r="AK128" s="13"/>
      <c r="AN128" s="13"/>
      <c r="AO128" s="13"/>
      <c r="AR128" s="13"/>
      <c r="AS128" s="13"/>
      <c r="AV128" s="13"/>
      <c r="AW128" s="13"/>
      <c r="AZ128" s="13"/>
      <c r="BA128" s="13"/>
      <c r="BB128" s="13"/>
      <c r="BC128" s="13"/>
      <c r="BD128" s="207"/>
      <c r="BE128" s="207"/>
    </row>
    <row r="129" spans="4:57" x14ac:dyDescent="0.5">
      <c r="D129" s="176"/>
      <c r="E129" s="176"/>
      <c r="H129" s="13"/>
      <c r="I129" s="13"/>
      <c r="L129" s="13"/>
      <c r="M129" s="13"/>
      <c r="P129" s="13"/>
      <c r="Q129" s="13"/>
      <c r="T129" s="13"/>
      <c r="U129" s="13"/>
      <c r="X129" s="13"/>
      <c r="Y129" s="13"/>
      <c r="AB129" s="13"/>
      <c r="AC129" s="13"/>
      <c r="AF129" s="13"/>
      <c r="AG129" s="13"/>
      <c r="AJ129" s="13"/>
      <c r="AK129" s="13"/>
      <c r="AN129" s="13"/>
      <c r="AO129" s="13"/>
      <c r="AR129" s="13"/>
      <c r="AS129" s="13"/>
      <c r="AV129" s="13"/>
      <c r="AW129" s="13"/>
      <c r="AZ129" s="13"/>
      <c r="BA129" s="13"/>
      <c r="BB129" s="13"/>
      <c r="BC129" s="13"/>
      <c r="BD129" s="207"/>
      <c r="BE129" s="207"/>
    </row>
    <row r="130" spans="4:57" x14ac:dyDescent="0.5">
      <c r="D130" s="176"/>
      <c r="E130" s="176"/>
      <c r="H130" s="13"/>
      <c r="I130" s="13"/>
      <c r="L130" s="13"/>
      <c r="M130" s="13"/>
      <c r="P130" s="13"/>
      <c r="Q130" s="13"/>
      <c r="T130" s="13"/>
      <c r="U130" s="13"/>
      <c r="X130" s="13"/>
      <c r="Y130" s="13"/>
      <c r="AB130" s="13"/>
      <c r="AC130" s="13"/>
      <c r="AF130" s="13"/>
      <c r="AG130" s="13"/>
      <c r="AJ130" s="13"/>
      <c r="AK130" s="13"/>
      <c r="AN130" s="13"/>
      <c r="AO130" s="13"/>
      <c r="AR130" s="13"/>
      <c r="AS130" s="13"/>
      <c r="AV130" s="13"/>
      <c r="AW130" s="13"/>
      <c r="AZ130" s="13"/>
      <c r="BA130" s="13"/>
      <c r="BB130" s="13"/>
      <c r="BC130" s="13"/>
      <c r="BD130" s="207"/>
      <c r="BE130" s="207"/>
    </row>
    <row r="131" spans="4:57" x14ac:dyDescent="0.5">
      <c r="D131" s="176"/>
      <c r="E131" s="176"/>
      <c r="H131" s="13"/>
      <c r="I131" s="13"/>
      <c r="L131" s="13"/>
      <c r="M131" s="13"/>
      <c r="P131" s="13"/>
      <c r="Q131" s="13"/>
      <c r="T131" s="13"/>
      <c r="U131" s="13"/>
      <c r="X131" s="13"/>
      <c r="Y131" s="13"/>
      <c r="AB131" s="13"/>
      <c r="AC131" s="13"/>
      <c r="AF131" s="13"/>
      <c r="AG131" s="13"/>
      <c r="AJ131" s="13"/>
      <c r="AK131" s="13"/>
      <c r="AN131" s="13"/>
      <c r="AO131" s="13"/>
      <c r="AR131" s="13"/>
      <c r="AS131" s="13"/>
      <c r="AV131" s="13"/>
      <c r="AW131" s="13"/>
      <c r="AZ131" s="13"/>
      <c r="BA131" s="13"/>
      <c r="BB131" s="13"/>
      <c r="BC131" s="13"/>
      <c r="BD131" s="207"/>
      <c r="BE131" s="207"/>
    </row>
    <row r="132" spans="4:57" x14ac:dyDescent="0.5">
      <c r="D132" s="176"/>
      <c r="E132" s="176"/>
      <c r="H132" s="13"/>
      <c r="I132" s="13"/>
      <c r="L132" s="13"/>
      <c r="M132" s="13"/>
      <c r="P132" s="13"/>
      <c r="Q132" s="13"/>
      <c r="T132" s="13"/>
      <c r="U132" s="13"/>
      <c r="X132" s="13"/>
      <c r="Y132" s="13"/>
      <c r="AB132" s="13"/>
      <c r="AC132" s="13"/>
      <c r="AF132" s="13"/>
      <c r="AG132" s="13"/>
      <c r="AJ132" s="13"/>
      <c r="AK132" s="13"/>
      <c r="AN132" s="13"/>
      <c r="AO132" s="13"/>
      <c r="AR132" s="13"/>
      <c r="AS132" s="13"/>
      <c r="AV132" s="13"/>
      <c r="AW132" s="13"/>
      <c r="AZ132" s="13"/>
      <c r="BA132" s="13"/>
      <c r="BB132" s="13"/>
      <c r="BC132" s="13"/>
      <c r="BD132" s="207"/>
      <c r="BE132" s="207"/>
    </row>
    <row r="133" spans="4:57" x14ac:dyDescent="0.5">
      <c r="D133" s="176"/>
      <c r="E133" s="176"/>
      <c r="H133" s="13"/>
      <c r="I133" s="13"/>
      <c r="L133" s="13"/>
      <c r="M133" s="13"/>
      <c r="P133" s="13"/>
      <c r="Q133" s="13"/>
      <c r="T133" s="13"/>
      <c r="U133" s="13"/>
      <c r="X133" s="13"/>
      <c r="Y133" s="13"/>
      <c r="AB133" s="13"/>
      <c r="AC133" s="13"/>
      <c r="AF133" s="13"/>
      <c r="AG133" s="13"/>
      <c r="AJ133" s="13"/>
      <c r="AK133" s="13"/>
      <c r="AN133" s="13"/>
      <c r="AO133" s="13"/>
      <c r="AR133" s="13"/>
      <c r="AS133" s="13"/>
      <c r="AV133" s="13"/>
      <c r="AW133" s="13"/>
      <c r="AZ133" s="13"/>
      <c r="BA133" s="13"/>
      <c r="BB133" s="13"/>
      <c r="BC133" s="13"/>
      <c r="BD133" s="207"/>
      <c r="BE133" s="207"/>
    </row>
    <row r="134" spans="4:57" x14ac:dyDescent="0.5">
      <c r="D134" s="176"/>
      <c r="E134" s="176"/>
      <c r="H134" s="13"/>
      <c r="I134" s="13"/>
      <c r="L134" s="13"/>
      <c r="M134" s="13"/>
      <c r="P134" s="13"/>
      <c r="Q134" s="13"/>
      <c r="T134" s="13"/>
      <c r="U134" s="13"/>
      <c r="X134" s="13"/>
      <c r="Y134" s="13"/>
      <c r="AB134" s="13"/>
      <c r="AC134" s="13"/>
      <c r="AF134" s="13"/>
      <c r="AG134" s="13"/>
      <c r="AJ134" s="13"/>
      <c r="AK134" s="13"/>
      <c r="AN134" s="13"/>
      <c r="AO134" s="13"/>
      <c r="AR134" s="13"/>
      <c r="AS134" s="13"/>
      <c r="AV134" s="13"/>
      <c r="AW134" s="13"/>
      <c r="AZ134" s="13"/>
      <c r="BA134" s="13"/>
      <c r="BB134" s="13"/>
      <c r="BC134" s="13"/>
      <c r="BD134" s="207"/>
      <c r="BE134" s="207"/>
    </row>
    <row r="135" spans="4:57" x14ac:dyDescent="0.5">
      <c r="D135" s="176"/>
      <c r="E135" s="176"/>
      <c r="H135" s="13"/>
      <c r="I135" s="13"/>
      <c r="L135" s="13"/>
      <c r="M135" s="13"/>
      <c r="P135" s="13"/>
      <c r="Q135" s="13"/>
      <c r="T135" s="13"/>
      <c r="U135" s="13"/>
      <c r="X135" s="13"/>
      <c r="Y135" s="13"/>
      <c r="AB135" s="13"/>
      <c r="AC135" s="13"/>
      <c r="AF135" s="13"/>
      <c r="AG135" s="13"/>
      <c r="AJ135" s="13"/>
      <c r="AK135" s="13"/>
      <c r="AN135" s="13"/>
      <c r="AO135" s="13"/>
      <c r="AR135" s="13"/>
      <c r="AS135" s="13"/>
      <c r="AV135" s="13"/>
      <c r="AW135" s="13"/>
      <c r="AZ135" s="13"/>
      <c r="BA135" s="13"/>
      <c r="BB135" s="13"/>
      <c r="BC135" s="13"/>
      <c r="BD135" s="207"/>
      <c r="BE135" s="207"/>
    </row>
    <row r="136" spans="4:57" x14ac:dyDescent="0.5">
      <c r="D136" s="176"/>
      <c r="E136" s="176"/>
      <c r="H136" s="13"/>
      <c r="I136" s="13"/>
      <c r="L136" s="13"/>
      <c r="M136" s="13"/>
      <c r="P136" s="13"/>
      <c r="Q136" s="13"/>
      <c r="T136" s="13"/>
      <c r="U136" s="13"/>
      <c r="X136" s="13"/>
      <c r="Y136" s="13"/>
      <c r="AB136" s="13"/>
      <c r="AC136" s="13"/>
      <c r="AF136" s="13"/>
      <c r="AG136" s="13"/>
      <c r="AJ136" s="13"/>
      <c r="AK136" s="13"/>
      <c r="AN136" s="13"/>
      <c r="AO136" s="13"/>
      <c r="AR136" s="13"/>
      <c r="AS136" s="13"/>
      <c r="AV136" s="13"/>
      <c r="AW136" s="13"/>
      <c r="AZ136" s="13"/>
      <c r="BA136" s="13"/>
      <c r="BB136" s="13"/>
      <c r="BC136" s="13"/>
      <c r="BD136" s="207"/>
      <c r="BE136" s="207"/>
    </row>
    <row r="137" spans="4:57" x14ac:dyDescent="0.5">
      <c r="D137" s="176"/>
      <c r="E137" s="176"/>
      <c r="H137" s="13"/>
      <c r="I137" s="13"/>
      <c r="L137" s="13"/>
      <c r="M137" s="13"/>
      <c r="P137" s="13"/>
      <c r="Q137" s="13"/>
      <c r="T137" s="13"/>
      <c r="U137" s="13"/>
      <c r="X137" s="13"/>
      <c r="Y137" s="13"/>
      <c r="AB137" s="13"/>
      <c r="AC137" s="13"/>
      <c r="AF137" s="13"/>
      <c r="AG137" s="13"/>
      <c r="AJ137" s="13"/>
      <c r="AK137" s="13"/>
      <c r="AN137" s="13"/>
      <c r="AO137" s="13"/>
      <c r="AR137" s="13"/>
      <c r="AS137" s="13"/>
      <c r="AV137" s="13"/>
      <c r="AW137" s="13"/>
      <c r="AZ137" s="13"/>
      <c r="BA137" s="13"/>
      <c r="BB137" s="13"/>
      <c r="BC137" s="13"/>
      <c r="BD137" s="207"/>
      <c r="BE137" s="207"/>
    </row>
    <row r="138" spans="4:57" x14ac:dyDescent="0.5">
      <c r="D138" s="176"/>
      <c r="E138" s="176"/>
      <c r="H138" s="13"/>
      <c r="I138" s="13"/>
      <c r="L138" s="13"/>
      <c r="M138" s="13"/>
      <c r="P138" s="13"/>
      <c r="Q138" s="13"/>
      <c r="T138" s="13"/>
      <c r="U138" s="13"/>
      <c r="X138" s="13"/>
      <c r="Y138" s="13"/>
      <c r="AB138" s="13"/>
      <c r="AC138" s="13"/>
      <c r="AF138" s="13"/>
      <c r="AG138" s="13"/>
      <c r="AJ138" s="13"/>
      <c r="AK138" s="13"/>
      <c r="AN138" s="13"/>
      <c r="AO138" s="13"/>
      <c r="AR138" s="13"/>
      <c r="AS138" s="13"/>
      <c r="AV138" s="13"/>
      <c r="AW138" s="13"/>
      <c r="AZ138" s="13"/>
      <c r="BA138" s="13"/>
      <c r="BB138" s="13"/>
      <c r="BC138" s="13"/>
      <c r="BD138" s="207"/>
      <c r="BE138" s="207"/>
    </row>
    <row r="139" spans="4:57" x14ac:dyDescent="0.5">
      <c r="D139" s="176"/>
      <c r="E139" s="176"/>
      <c r="H139" s="13"/>
      <c r="I139" s="13"/>
      <c r="L139" s="13"/>
      <c r="M139" s="13"/>
      <c r="P139" s="13"/>
      <c r="Q139" s="13"/>
      <c r="T139" s="13"/>
      <c r="U139" s="13"/>
      <c r="X139" s="13"/>
      <c r="Y139" s="13"/>
      <c r="AB139" s="13"/>
      <c r="AC139" s="13"/>
      <c r="AF139" s="13"/>
      <c r="AG139" s="13"/>
      <c r="AJ139" s="13"/>
      <c r="AK139" s="13"/>
      <c r="AN139" s="13"/>
      <c r="AO139" s="13"/>
      <c r="AR139" s="13"/>
      <c r="AS139" s="13"/>
      <c r="AV139" s="13"/>
      <c r="AW139" s="13"/>
      <c r="AZ139" s="13"/>
      <c r="BA139" s="13"/>
      <c r="BB139" s="13"/>
      <c r="BC139" s="13"/>
      <c r="BD139" s="207"/>
      <c r="BE139" s="207"/>
    </row>
    <row r="140" spans="4:57" x14ac:dyDescent="0.5">
      <c r="D140" s="176"/>
      <c r="E140" s="176"/>
      <c r="H140" s="13"/>
      <c r="I140" s="13"/>
      <c r="L140" s="13"/>
      <c r="M140" s="13"/>
      <c r="P140" s="13"/>
      <c r="Q140" s="13"/>
      <c r="T140" s="13"/>
      <c r="U140" s="13"/>
      <c r="X140" s="13"/>
      <c r="Y140" s="13"/>
      <c r="AB140" s="13"/>
      <c r="AC140" s="13"/>
      <c r="AF140" s="13"/>
      <c r="AG140" s="13"/>
      <c r="AJ140" s="13"/>
      <c r="AK140" s="13"/>
      <c r="AN140" s="13"/>
      <c r="AO140" s="13"/>
      <c r="AR140" s="13"/>
      <c r="AS140" s="13"/>
      <c r="AV140" s="13"/>
      <c r="AW140" s="13"/>
      <c r="AZ140" s="13"/>
      <c r="BA140" s="13"/>
      <c r="BB140" s="13"/>
      <c r="BC140" s="13"/>
      <c r="BD140" s="207"/>
      <c r="BE140" s="207"/>
    </row>
    <row r="141" spans="4:57" x14ac:dyDescent="0.5">
      <c r="D141" s="176"/>
      <c r="E141" s="176"/>
      <c r="H141" s="13"/>
      <c r="I141" s="13"/>
      <c r="L141" s="13"/>
      <c r="M141" s="13"/>
      <c r="P141" s="13"/>
      <c r="Q141" s="13"/>
      <c r="T141" s="13"/>
      <c r="U141" s="13"/>
      <c r="X141" s="13"/>
      <c r="Y141" s="13"/>
      <c r="AB141" s="13"/>
      <c r="AC141" s="13"/>
      <c r="AF141" s="13"/>
      <c r="AG141" s="13"/>
      <c r="AJ141" s="13"/>
      <c r="AK141" s="13"/>
      <c r="AN141" s="13"/>
      <c r="AO141" s="13"/>
      <c r="AR141" s="13"/>
      <c r="AS141" s="13"/>
      <c r="AV141" s="13"/>
      <c r="AW141" s="13"/>
      <c r="AZ141" s="13"/>
      <c r="BA141" s="13"/>
      <c r="BB141" s="13"/>
      <c r="BC141" s="13"/>
      <c r="BD141" s="207"/>
      <c r="BE141" s="207"/>
    </row>
    <row r="142" spans="4:57" x14ac:dyDescent="0.5">
      <c r="D142" s="176"/>
      <c r="E142" s="176"/>
      <c r="H142" s="13"/>
      <c r="I142" s="13"/>
      <c r="L142" s="13"/>
      <c r="M142" s="13"/>
      <c r="P142" s="13"/>
      <c r="Q142" s="13"/>
      <c r="T142" s="13"/>
      <c r="U142" s="13"/>
      <c r="X142" s="13"/>
      <c r="Y142" s="13"/>
      <c r="AB142" s="13"/>
      <c r="AC142" s="13"/>
      <c r="AF142" s="13"/>
      <c r="AG142" s="13"/>
      <c r="AJ142" s="13"/>
      <c r="AK142" s="13"/>
      <c r="AN142" s="13"/>
      <c r="AO142" s="13"/>
      <c r="AR142" s="13"/>
      <c r="AS142" s="13"/>
      <c r="AV142" s="13"/>
      <c r="AW142" s="13"/>
      <c r="AZ142" s="13"/>
      <c r="BA142" s="13"/>
      <c r="BB142" s="13"/>
      <c r="BC142" s="13"/>
      <c r="BD142" s="207"/>
      <c r="BE142" s="207"/>
    </row>
    <row r="143" spans="4:57" x14ac:dyDescent="0.5">
      <c r="D143" s="176"/>
      <c r="E143" s="176"/>
      <c r="H143" s="13"/>
      <c r="I143" s="13"/>
      <c r="L143" s="13"/>
      <c r="M143" s="13"/>
      <c r="P143" s="13"/>
      <c r="Q143" s="13"/>
      <c r="T143" s="13"/>
      <c r="U143" s="13"/>
      <c r="X143" s="13"/>
      <c r="Y143" s="13"/>
      <c r="AB143" s="13"/>
      <c r="AC143" s="13"/>
      <c r="AF143" s="13"/>
      <c r="AG143" s="13"/>
      <c r="AJ143" s="13"/>
      <c r="AK143" s="13"/>
      <c r="AN143" s="13"/>
      <c r="AO143" s="13"/>
      <c r="AR143" s="13"/>
      <c r="AS143" s="13"/>
      <c r="AV143" s="13"/>
      <c r="AW143" s="13"/>
      <c r="AZ143" s="13"/>
      <c r="BA143" s="13"/>
      <c r="BB143" s="13"/>
      <c r="BC143" s="13"/>
      <c r="BD143" s="207"/>
      <c r="BE143" s="207"/>
    </row>
    <row r="144" spans="4:57" x14ac:dyDescent="0.5">
      <c r="D144" s="176"/>
      <c r="E144" s="176"/>
      <c r="H144" s="13"/>
      <c r="I144" s="13"/>
      <c r="L144" s="13"/>
      <c r="M144" s="13"/>
      <c r="P144" s="13"/>
      <c r="Q144" s="13"/>
      <c r="T144" s="13"/>
      <c r="U144" s="13"/>
      <c r="X144" s="13"/>
      <c r="Y144" s="13"/>
      <c r="AB144" s="13"/>
      <c r="AC144" s="13"/>
      <c r="AF144" s="13"/>
      <c r="AG144" s="13"/>
      <c r="AJ144" s="13"/>
      <c r="AK144" s="13"/>
      <c r="AN144" s="13"/>
      <c r="AO144" s="13"/>
      <c r="AR144" s="13"/>
      <c r="AS144" s="13"/>
      <c r="AV144" s="13"/>
      <c r="AW144" s="13"/>
      <c r="AZ144" s="13"/>
      <c r="BA144" s="13"/>
      <c r="BB144" s="13"/>
      <c r="BC144" s="13"/>
      <c r="BD144" s="207"/>
      <c r="BE144" s="207"/>
    </row>
    <row r="145" spans="4:57" x14ac:dyDescent="0.5">
      <c r="D145" s="176"/>
      <c r="E145" s="176"/>
      <c r="H145" s="13"/>
      <c r="I145" s="13"/>
      <c r="L145" s="13"/>
      <c r="M145" s="13"/>
      <c r="P145" s="13"/>
      <c r="Q145" s="13"/>
      <c r="T145" s="13"/>
      <c r="U145" s="13"/>
      <c r="X145" s="13"/>
      <c r="Y145" s="13"/>
      <c r="AB145" s="13"/>
      <c r="AC145" s="13"/>
      <c r="AF145" s="13"/>
      <c r="AG145" s="13"/>
      <c r="AJ145" s="13"/>
      <c r="AK145" s="13"/>
      <c r="AN145" s="13"/>
      <c r="AO145" s="13"/>
      <c r="AR145" s="13"/>
      <c r="AS145" s="13"/>
      <c r="AV145" s="13"/>
      <c r="AW145" s="13"/>
      <c r="AZ145" s="13"/>
      <c r="BA145" s="13"/>
      <c r="BB145" s="13"/>
      <c r="BC145" s="13"/>
      <c r="BD145" s="207"/>
      <c r="BE145" s="207"/>
    </row>
    <row r="146" spans="4:57" x14ac:dyDescent="0.5">
      <c r="D146" s="176"/>
      <c r="E146" s="176"/>
      <c r="H146" s="13"/>
      <c r="I146" s="13"/>
      <c r="L146" s="13"/>
      <c r="M146" s="13"/>
      <c r="P146" s="13"/>
      <c r="Q146" s="13"/>
      <c r="T146" s="13"/>
      <c r="U146" s="13"/>
      <c r="X146" s="13"/>
      <c r="Y146" s="13"/>
      <c r="AB146" s="13"/>
      <c r="AC146" s="13"/>
      <c r="AF146" s="13"/>
      <c r="AG146" s="13"/>
      <c r="AJ146" s="13"/>
      <c r="AK146" s="13"/>
      <c r="AN146" s="13"/>
      <c r="AO146" s="13"/>
      <c r="AR146" s="13"/>
      <c r="AS146" s="13"/>
      <c r="AV146" s="13"/>
      <c r="AW146" s="13"/>
      <c r="AZ146" s="13"/>
      <c r="BA146" s="13"/>
      <c r="BB146" s="13"/>
      <c r="BC146" s="13"/>
      <c r="BD146" s="207"/>
      <c r="BE146" s="207"/>
    </row>
    <row r="147" spans="4:57" x14ac:dyDescent="0.5">
      <c r="D147" s="176"/>
      <c r="E147" s="176"/>
      <c r="H147" s="13"/>
      <c r="I147" s="13"/>
      <c r="L147" s="13"/>
      <c r="M147" s="13"/>
      <c r="P147" s="13"/>
      <c r="Q147" s="13"/>
      <c r="T147" s="13"/>
      <c r="U147" s="13"/>
      <c r="X147" s="13"/>
      <c r="Y147" s="13"/>
      <c r="AB147" s="13"/>
      <c r="AC147" s="13"/>
      <c r="AF147" s="13"/>
      <c r="AG147" s="13"/>
      <c r="AJ147" s="13"/>
      <c r="AK147" s="13"/>
      <c r="AN147" s="13"/>
      <c r="AO147" s="13"/>
      <c r="AR147" s="13"/>
      <c r="AS147" s="13"/>
      <c r="AV147" s="13"/>
      <c r="AW147" s="13"/>
      <c r="AZ147" s="13"/>
      <c r="BA147" s="13"/>
      <c r="BB147" s="13"/>
      <c r="BC147" s="13"/>
      <c r="BD147" s="207"/>
      <c r="BE147" s="207"/>
    </row>
    <row r="148" spans="4:57" x14ac:dyDescent="0.5">
      <c r="D148" s="176"/>
      <c r="E148" s="176"/>
      <c r="H148" s="13"/>
      <c r="I148" s="13"/>
      <c r="L148" s="13"/>
      <c r="M148" s="13"/>
      <c r="P148" s="13"/>
      <c r="Q148" s="13"/>
      <c r="T148" s="13"/>
      <c r="U148" s="13"/>
      <c r="X148" s="13"/>
      <c r="Y148" s="13"/>
      <c r="AB148" s="13"/>
      <c r="AC148" s="13"/>
      <c r="AF148" s="13"/>
      <c r="AG148" s="13"/>
      <c r="AJ148" s="13"/>
      <c r="AK148" s="13"/>
      <c r="AN148" s="13"/>
      <c r="AO148" s="13"/>
      <c r="AR148" s="13"/>
      <c r="AS148" s="13"/>
      <c r="AV148" s="13"/>
      <c r="AW148" s="13"/>
      <c r="AZ148" s="13"/>
      <c r="BA148" s="13"/>
      <c r="BB148" s="13"/>
      <c r="BC148" s="13"/>
      <c r="BD148" s="207"/>
      <c r="BE148" s="207"/>
    </row>
    <row r="149" spans="4:57" x14ac:dyDescent="0.5">
      <c r="D149" s="176"/>
      <c r="E149" s="176"/>
      <c r="H149" s="13"/>
      <c r="I149" s="13"/>
      <c r="L149" s="13"/>
      <c r="M149" s="13"/>
      <c r="P149" s="13"/>
      <c r="Q149" s="13"/>
      <c r="T149" s="13"/>
      <c r="U149" s="13"/>
      <c r="X149" s="13"/>
      <c r="Y149" s="13"/>
      <c r="AB149" s="13"/>
      <c r="AC149" s="13"/>
      <c r="AF149" s="13"/>
      <c r="AG149" s="13"/>
      <c r="AJ149" s="13"/>
      <c r="AK149" s="13"/>
      <c r="AN149" s="13"/>
      <c r="AO149" s="13"/>
      <c r="AR149" s="13"/>
      <c r="AS149" s="13"/>
      <c r="AV149" s="13"/>
      <c r="AW149" s="13"/>
      <c r="AZ149" s="13"/>
      <c r="BA149" s="13"/>
      <c r="BB149" s="13"/>
      <c r="BC149" s="13"/>
      <c r="BD149" s="207"/>
      <c r="BE149" s="207"/>
    </row>
    <row r="150" spans="4:57" x14ac:dyDescent="0.5">
      <c r="D150" s="176"/>
      <c r="E150" s="176"/>
      <c r="H150" s="13"/>
      <c r="I150" s="13"/>
      <c r="L150" s="13"/>
      <c r="M150" s="13"/>
      <c r="P150" s="13"/>
      <c r="Q150" s="13"/>
      <c r="T150" s="13"/>
      <c r="U150" s="13"/>
      <c r="X150" s="13"/>
      <c r="Y150" s="13"/>
      <c r="AB150" s="13"/>
      <c r="AC150" s="13"/>
      <c r="AF150" s="13"/>
      <c r="AG150" s="13"/>
      <c r="AJ150" s="13"/>
      <c r="AK150" s="13"/>
      <c r="AN150" s="13"/>
      <c r="AO150" s="13"/>
      <c r="AR150" s="13"/>
      <c r="AS150" s="13"/>
      <c r="AV150" s="13"/>
      <c r="AW150" s="13"/>
      <c r="AZ150" s="13"/>
      <c r="BA150" s="13"/>
      <c r="BB150" s="13"/>
      <c r="BC150" s="13"/>
      <c r="BD150" s="207"/>
      <c r="BE150" s="207"/>
    </row>
    <row r="151" spans="4:57" x14ac:dyDescent="0.5">
      <c r="D151" s="176"/>
      <c r="E151" s="176"/>
      <c r="H151" s="13"/>
      <c r="I151" s="13"/>
      <c r="L151" s="13"/>
      <c r="M151" s="13"/>
      <c r="P151" s="13"/>
      <c r="Q151" s="13"/>
      <c r="T151" s="13"/>
      <c r="U151" s="13"/>
      <c r="X151" s="13"/>
      <c r="Y151" s="13"/>
      <c r="AB151" s="13"/>
      <c r="AC151" s="13"/>
      <c r="AF151" s="13"/>
      <c r="AG151" s="13"/>
      <c r="AJ151" s="13"/>
      <c r="AK151" s="13"/>
      <c r="AN151" s="13"/>
      <c r="AO151" s="13"/>
      <c r="AR151" s="13"/>
      <c r="AS151" s="13"/>
      <c r="AV151" s="13"/>
      <c r="AW151" s="13"/>
      <c r="AZ151" s="13"/>
      <c r="BA151" s="13"/>
      <c r="BB151" s="13"/>
      <c r="BC151" s="13"/>
      <c r="BD151" s="207"/>
      <c r="BE151" s="207"/>
    </row>
    <row r="152" spans="4:57" x14ac:dyDescent="0.5">
      <c r="D152" s="176"/>
      <c r="E152" s="176"/>
      <c r="H152" s="13"/>
      <c r="I152" s="13"/>
      <c r="L152" s="13"/>
      <c r="M152" s="13"/>
      <c r="P152" s="13"/>
      <c r="Q152" s="13"/>
      <c r="T152" s="13"/>
      <c r="U152" s="13"/>
      <c r="X152" s="13"/>
      <c r="Y152" s="13"/>
      <c r="AB152" s="13"/>
      <c r="AC152" s="13"/>
      <c r="AF152" s="13"/>
      <c r="AG152" s="13"/>
      <c r="AJ152" s="13"/>
      <c r="AK152" s="13"/>
      <c r="AN152" s="13"/>
      <c r="AO152" s="13"/>
      <c r="AR152" s="13"/>
      <c r="AS152" s="13"/>
      <c r="AV152" s="13"/>
      <c r="AW152" s="13"/>
      <c r="AZ152" s="13"/>
      <c r="BA152" s="13"/>
      <c r="BB152" s="13"/>
      <c r="BC152" s="13"/>
      <c r="BD152" s="207"/>
      <c r="BE152" s="207"/>
    </row>
    <row r="153" spans="4:57" x14ac:dyDescent="0.5">
      <c r="D153" s="176"/>
      <c r="E153" s="176"/>
      <c r="H153" s="13"/>
      <c r="I153" s="13"/>
      <c r="L153" s="13"/>
      <c r="M153" s="13"/>
      <c r="P153" s="13"/>
      <c r="Q153" s="13"/>
      <c r="T153" s="13"/>
      <c r="U153" s="13"/>
      <c r="X153" s="13"/>
      <c r="Y153" s="13"/>
      <c r="AB153" s="13"/>
      <c r="AC153" s="13"/>
      <c r="AF153" s="13"/>
      <c r="AG153" s="13"/>
      <c r="AJ153" s="13"/>
      <c r="AK153" s="13"/>
      <c r="AN153" s="13"/>
      <c r="AO153" s="13"/>
      <c r="AR153" s="13"/>
      <c r="AS153" s="13"/>
      <c r="AV153" s="13"/>
      <c r="AW153" s="13"/>
      <c r="AZ153" s="13"/>
      <c r="BA153" s="13"/>
      <c r="BB153" s="13"/>
      <c r="BC153" s="13"/>
      <c r="BD153" s="207"/>
      <c r="BE153" s="207"/>
    </row>
    <row r="154" spans="4:57" x14ac:dyDescent="0.5">
      <c r="D154" s="176"/>
      <c r="E154" s="176"/>
      <c r="H154" s="13"/>
      <c r="I154" s="13"/>
      <c r="L154" s="13"/>
      <c r="M154" s="13"/>
      <c r="P154" s="13"/>
      <c r="Q154" s="13"/>
      <c r="T154" s="13"/>
      <c r="U154" s="13"/>
      <c r="X154" s="13"/>
      <c r="Y154" s="13"/>
      <c r="AB154" s="13"/>
      <c r="AC154" s="13"/>
      <c r="AF154" s="13"/>
      <c r="AG154" s="13"/>
      <c r="AJ154" s="13"/>
      <c r="AK154" s="13"/>
      <c r="AN154" s="13"/>
      <c r="AO154" s="13"/>
      <c r="AR154" s="13"/>
      <c r="AS154" s="13"/>
      <c r="AV154" s="13"/>
      <c r="AW154" s="13"/>
      <c r="AZ154" s="13"/>
      <c r="BA154" s="13"/>
      <c r="BB154" s="13"/>
      <c r="BC154" s="13"/>
      <c r="BD154" s="207"/>
      <c r="BE154" s="207"/>
    </row>
    <row r="155" spans="4:57" x14ac:dyDescent="0.5">
      <c r="D155" s="176"/>
      <c r="E155" s="176"/>
      <c r="H155" s="13"/>
      <c r="I155" s="13"/>
      <c r="L155" s="13"/>
      <c r="M155" s="13"/>
      <c r="P155" s="13"/>
      <c r="Q155" s="13"/>
      <c r="T155" s="13"/>
      <c r="U155" s="13"/>
      <c r="X155" s="13"/>
      <c r="Y155" s="13"/>
      <c r="AB155" s="13"/>
      <c r="AC155" s="13"/>
      <c r="AF155" s="13"/>
      <c r="AG155" s="13"/>
      <c r="AJ155" s="13"/>
      <c r="AK155" s="13"/>
      <c r="AN155" s="13"/>
      <c r="AO155" s="13"/>
      <c r="AR155" s="13"/>
      <c r="AS155" s="13"/>
      <c r="AV155" s="13"/>
      <c r="AW155" s="13"/>
      <c r="AZ155" s="13"/>
      <c r="BA155" s="13"/>
      <c r="BB155" s="13"/>
      <c r="BC155" s="13"/>
      <c r="BD155" s="207"/>
      <c r="BE155" s="207"/>
    </row>
    <row r="156" spans="4:57" x14ac:dyDescent="0.5">
      <c r="D156" s="176"/>
      <c r="E156" s="176"/>
      <c r="H156" s="13"/>
      <c r="I156" s="13"/>
      <c r="L156" s="13"/>
      <c r="M156" s="13"/>
      <c r="P156" s="13"/>
      <c r="Q156" s="13"/>
      <c r="T156" s="13"/>
      <c r="U156" s="13"/>
      <c r="X156" s="13"/>
      <c r="Y156" s="13"/>
      <c r="AB156" s="13"/>
      <c r="AC156" s="13"/>
      <c r="AF156" s="13"/>
      <c r="AG156" s="13"/>
      <c r="AJ156" s="13"/>
      <c r="AK156" s="13"/>
      <c r="AN156" s="13"/>
      <c r="AO156" s="13"/>
      <c r="AR156" s="13"/>
      <c r="AS156" s="13"/>
      <c r="AV156" s="13"/>
      <c r="AW156" s="13"/>
      <c r="AZ156" s="13"/>
      <c r="BA156" s="13"/>
      <c r="BB156" s="13"/>
      <c r="BC156" s="13"/>
      <c r="BD156" s="207"/>
      <c r="BE156" s="207"/>
    </row>
    <row r="157" spans="4:57" x14ac:dyDescent="0.5">
      <c r="D157" s="176"/>
      <c r="E157" s="176"/>
      <c r="H157" s="13"/>
      <c r="I157" s="13"/>
      <c r="L157" s="13"/>
      <c r="M157" s="13"/>
      <c r="P157" s="13"/>
      <c r="Q157" s="13"/>
      <c r="T157" s="13"/>
      <c r="U157" s="13"/>
      <c r="X157" s="13"/>
      <c r="Y157" s="13"/>
      <c r="AB157" s="13"/>
      <c r="AC157" s="13"/>
      <c r="AF157" s="13"/>
      <c r="AG157" s="13"/>
      <c r="AJ157" s="13"/>
      <c r="AK157" s="13"/>
      <c r="AN157" s="13"/>
      <c r="AO157" s="13"/>
      <c r="AR157" s="13"/>
      <c r="AS157" s="13"/>
      <c r="AV157" s="13"/>
      <c r="AW157" s="13"/>
      <c r="AZ157" s="13"/>
      <c r="BA157" s="13"/>
      <c r="BB157" s="13"/>
      <c r="BC157" s="13"/>
      <c r="BD157" s="207"/>
      <c r="BE157" s="207"/>
    </row>
    <row r="158" spans="4:57" x14ac:dyDescent="0.5">
      <c r="D158" s="176"/>
      <c r="E158" s="176"/>
      <c r="H158" s="13"/>
      <c r="I158" s="13"/>
      <c r="L158" s="13"/>
      <c r="M158" s="13"/>
      <c r="P158" s="13"/>
      <c r="Q158" s="13"/>
      <c r="T158" s="13"/>
      <c r="U158" s="13"/>
      <c r="X158" s="13"/>
      <c r="Y158" s="13"/>
      <c r="AB158" s="13"/>
      <c r="AC158" s="13"/>
      <c r="AF158" s="13"/>
      <c r="AG158" s="13"/>
      <c r="AJ158" s="13"/>
      <c r="AK158" s="13"/>
      <c r="AN158" s="13"/>
      <c r="AO158" s="13"/>
      <c r="AR158" s="13"/>
      <c r="AS158" s="13"/>
      <c r="AV158" s="13"/>
      <c r="AW158" s="13"/>
      <c r="AZ158" s="13"/>
      <c r="BA158" s="13"/>
      <c r="BB158" s="13"/>
      <c r="BC158" s="13"/>
      <c r="BD158" s="207"/>
      <c r="BE158" s="207"/>
    </row>
    <row r="159" spans="4:57" x14ac:dyDescent="0.5">
      <c r="D159" s="176"/>
      <c r="E159" s="176"/>
      <c r="H159" s="13"/>
      <c r="I159" s="13"/>
      <c r="L159" s="13"/>
      <c r="M159" s="13"/>
      <c r="P159" s="13"/>
      <c r="Q159" s="13"/>
      <c r="T159" s="13"/>
      <c r="U159" s="13"/>
      <c r="X159" s="13"/>
      <c r="Y159" s="13"/>
      <c r="AB159" s="13"/>
      <c r="AC159" s="13"/>
      <c r="AF159" s="13"/>
      <c r="AG159" s="13"/>
      <c r="AJ159" s="13"/>
      <c r="AK159" s="13"/>
      <c r="AN159" s="13"/>
      <c r="AO159" s="13"/>
      <c r="AR159" s="13"/>
      <c r="AS159" s="13"/>
      <c r="AV159" s="13"/>
      <c r="AW159" s="13"/>
      <c r="AZ159" s="13"/>
      <c r="BA159" s="13"/>
      <c r="BB159" s="13"/>
      <c r="BC159" s="13"/>
      <c r="BD159" s="207"/>
      <c r="BE159" s="207"/>
    </row>
    <row r="160" spans="4:57" x14ac:dyDescent="0.5">
      <c r="D160" s="176"/>
      <c r="E160" s="176"/>
      <c r="H160" s="13"/>
      <c r="I160" s="13"/>
      <c r="L160" s="13"/>
      <c r="M160" s="13"/>
      <c r="P160" s="13"/>
      <c r="Q160" s="13"/>
      <c r="T160" s="13"/>
      <c r="U160" s="13"/>
      <c r="X160" s="13"/>
      <c r="Y160" s="13"/>
      <c r="AB160" s="13"/>
      <c r="AC160" s="13"/>
      <c r="AF160" s="13"/>
      <c r="AG160" s="13"/>
      <c r="AJ160" s="13"/>
      <c r="AK160" s="13"/>
      <c r="AN160" s="13"/>
      <c r="AO160" s="13"/>
      <c r="AR160" s="13"/>
      <c r="AS160" s="13"/>
      <c r="AV160" s="13"/>
      <c r="AW160" s="13"/>
      <c r="AZ160" s="13"/>
      <c r="BA160" s="13"/>
      <c r="BB160" s="13"/>
      <c r="BC160" s="13"/>
      <c r="BD160" s="207"/>
      <c r="BE160" s="207"/>
    </row>
    <row r="161" spans="4:57" x14ac:dyDescent="0.5">
      <c r="D161" s="176"/>
      <c r="E161" s="176"/>
      <c r="H161" s="13"/>
      <c r="I161" s="13"/>
      <c r="L161" s="13"/>
      <c r="M161" s="13"/>
      <c r="P161" s="13"/>
      <c r="Q161" s="13"/>
      <c r="T161" s="13"/>
      <c r="U161" s="13"/>
      <c r="X161" s="13"/>
      <c r="Y161" s="13"/>
      <c r="AB161" s="13"/>
      <c r="AC161" s="13"/>
      <c r="AF161" s="13"/>
      <c r="AG161" s="13"/>
      <c r="AJ161" s="13"/>
      <c r="AK161" s="13"/>
      <c r="AN161" s="13"/>
      <c r="AO161" s="13"/>
      <c r="AR161" s="13"/>
      <c r="AS161" s="13"/>
      <c r="AV161" s="13"/>
      <c r="AW161" s="13"/>
      <c r="AZ161" s="13"/>
      <c r="BA161" s="13"/>
      <c r="BB161" s="13"/>
      <c r="BC161" s="13"/>
      <c r="BD161" s="207"/>
      <c r="BE161" s="207"/>
    </row>
    <row r="162" spans="4:57" x14ac:dyDescent="0.5">
      <c r="D162" s="176"/>
      <c r="E162" s="176"/>
      <c r="H162" s="13"/>
      <c r="I162" s="13"/>
      <c r="L162" s="13"/>
      <c r="M162" s="13"/>
      <c r="P162" s="13"/>
      <c r="Q162" s="13"/>
      <c r="T162" s="13"/>
      <c r="U162" s="13"/>
      <c r="X162" s="13"/>
      <c r="Y162" s="13"/>
      <c r="AB162" s="13"/>
      <c r="AC162" s="13"/>
      <c r="AF162" s="13"/>
      <c r="AG162" s="13"/>
      <c r="AJ162" s="13"/>
      <c r="AK162" s="13"/>
      <c r="AN162" s="13"/>
      <c r="AO162" s="13"/>
      <c r="AR162" s="13"/>
      <c r="AS162" s="13"/>
      <c r="AV162" s="13"/>
      <c r="AW162" s="13"/>
      <c r="AZ162" s="13"/>
      <c r="BA162" s="13"/>
      <c r="BB162" s="13"/>
      <c r="BC162" s="13"/>
      <c r="BD162" s="207"/>
      <c r="BE162" s="207"/>
    </row>
    <row r="163" spans="4:57" x14ac:dyDescent="0.5">
      <c r="D163" s="176"/>
      <c r="E163" s="176"/>
      <c r="H163" s="13"/>
      <c r="I163" s="13"/>
      <c r="L163" s="13"/>
      <c r="M163" s="13"/>
      <c r="P163" s="13"/>
      <c r="Q163" s="13"/>
      <c r="T163" s="13"/>
      <c r="U163" s="13"/>
      <c r="X163" s="13"/>
      <c r="Y163" s="13"/>
      <c r="AB163" s="13"/>
      <c r="AC163" s="13"/>
      <c r="AF163" s="13"/>
      <c r="AG163" s="13"/>
      <c r="AJ163" s="13"/>
      <c r="AK163" s="13"/>
      <c r="AN163" s="13"/>
      <c r="AO163" s="13"/>
      <c r="AR163" s="13"/>
      <c r="AS163" s="13"/>
      <c r="AV163" s="13"/>
      <c r="AW163" s="13"/>
      <c r="AZ163" s="13"/>
      <c r="BA163" s="13"/>
      <c r="BB163" s="13"/>
      <c r="BC163" s="13"/>
      <c r="BD163" s="207"/>
      <c r="BE163" s="207"/>
    </row>
  </sheetData>
  <mergeCells count="31">
    <mergeCell ref="BD4:BE5"/>
    <mergeCell ref="BB4:BC5"/>
    <mergeCell ref="AH4:AI5"/>
    <mergeCell ref="AJ4:AK5"/>
    <mergeCell ref="J4:K5"/>
    <mergeCell ref="L4:M5"/>
    <mergeCell ref="Z4:AA5"/>
    <mergeCell ref="AD4:AE5"/>
    <mergeCell ref="AF4:AG5"/>
    <mergeCell ref="AB4:AC5"/>
    <mergeCell ref="X4:Y5"/>
    <mergeCell ref="AP4:AQ5"/>
    <mergeCell ref="AR4:AS5"/>
    <mergeCell ref="AL4:AM5"/>
    <mergeCell ref="AN4:AO5"/>
    <mergeCell ref="AT4:AU5"/>
    <mergeCell ref="A4:A6"/>
    <mergeCell ref="B4:B6"/>
    <mergeCell ref="C4:C5"/>
    <mergeCell ref="D4:E4"/>
    <mergeCell ref="D5:E5"/>
    <mergeCell ref="AX4:AY5"/>
    <mergeCell ref="AZ4:BA5"/>
    <mergeCell ref="AV4:AW5"/>
    <mergeCell ref="F4:G5"/>
    <mergeCell ref="H4:I5"/>
    <mergeCell ref="V4:W5"/>
    <mergeCell ref="R4:S5"/>
    <mergeCell ref="T4:U5"/>
    <mergeCell ref="N4:O5"/>
    <mergeCell ref="P4:Q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1"/>
  <sheetViews>
    <sheetView tabSelected="1" view="pageBreakPreview" zoomScale="90" zoomScaleNormal="80" zoomScaleSheetLayoutView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H12" sqref="BH12"/>
    </sheetView>
  </sheetViews>
  <sheetFormatPr defaultRowHeight="21.75" x14ac:dyDescent="0.5"/>
  <cols>
    <col min="1" max="1" width="4.7109375" style="17" customWidth="1"/>
    <col min="2" max="2" width="41.28515625" style="88" customWidth="1"/>
    <col min="3" max="3" width="4.7109375" style="2" customWidth="1"/>
    <col min="4" max="5" width="10.7109375" style="266" customWidth="1"/>
    <col min="6" max="7" width="10.7109375" style="266" hidden="1" customWidth="1"/>
    <col min="8" max="9" width="10.7109375" style="88" hidden="1" customWidth="1"/>
    <col min="10" max="11" width="10.7109375" style="266" hidden="1" customWidth="1"/>
    <col min="12" max="13" width="10.7109375" style="88" hidden="1" customWidth="1"/>
    <col min="14" max="15" width="10.7109375" style="266" hidden="1" customWidth="1"/>
    <col min="16" max="17" width="10.7109375" style="88" hidden="1" customWidth="1"/>
    <col min="18" max="19" width="10.7109375" style="266" hidden="1" customWidth="1"/>
    <col min="20" max="21" width="10.7109375" style="88" hidden="1" customWidth="1"/>
    <col min="22" max="23" width="8.7109375" style="266" hidden="1" customWidth="1"/>
    <col min="24" max="25" width="10.7109375" style="88" hidden="1" customWidth="1"/>
    <col min="26" max="27" width="10.7109375" style="266" hidden="1" customWidth="1"/>
    <col min="28" max="29" width="10.7109375" style="88" hidden="1" customWidth="1"/>
    <col min="30" max="31" width="10.7109375" style="266" hidden="1" customWidth="1"/>
    <col min="32" max="33" width="10.7109375" style="88" customWidth="1"/>
    <col min="34" max="35" width="10.7109375" style="266" customWidth="1"/>
    <col min="36" max="37" width="10.7109375" style="88" customWidth="1"/>
    <col min="38" max="39" width="10.7109375" style="266" hidden="1" customWidth="1"/>
    <col min="40" max="41" width="10.7109375" style="88" hidden="1" customWidth="1"/>
    <col min="42" max="43" width="10.7109375" style="266" hidden="1" customWidth="1"/>
    <col min="44" max="45" width="10.7109375" style="88" hidden="1" customWidth="1"/>
    <col min="46" max="47" width="10.7109375" style="266" hidden="1" customWidth="1"/>
    <col min="48" max="49" width="10.7109375" style="88" hidden="1" customWidth="1"/>
    <col min="50" max="51" width="10.7109375" style="266" hidden="1" customWidth="1"/>
    <col min="52" max="53" width="10.7109375" style="88" hidden="1" customWidth="1"/>
    <col min="54" max="54" width="10.7109375" style="88" customWidth="1"/>
    <col min="55" max="55" width="18.7109375" style="231" customWidth="1"/>
    <col min="56" max="16384" width="9.140625" style="231"/>
  </cols>
  <sheetData>
    <row r="1" spans="1:55" s="233" customFormat="1" ht="24" x14ac:dyDescent="0.55000000000000004">
      <c r="A1" s="290" t="s">
        <v>166</v>
      </c>
      <c r="B1" s="290"/>
      <c r="C1" s="290"/>
      <c r="D1" s="291"/>
      <c r="E1" s="291"/>
      <c r="F1" s="291"/>
      <c r="G1" s="291"/>
      <c r="H1" s="292"/>
      <c r="I1" s="292"/>
      <c r="J1" s="291"/>
      <c r="K1" s="291"/>
      <c r="L1" s="292"/>
      <c r="M1" s="292"/>
      <c r="N1" s="291"/>
      <c r="O1" s="291"/>
      <c r="P1" s="292"/>
      <c r="Q1" s="292"/>
      <c r="R1" s="291"/>
      <c r="S1" s="291"/>
      <c r="T1" s="292"/>
      <c r="U1" s="292"/>
      <c r="V1" s="291"/>
      <c r="W1" s="291"/>
      <c r="X1" s="292"/>
      <c r="Y1" s="292"/>
      <c r="Z1" s="291"/>
      <c r="AA1" s="291"/>
      <c r="AB1" s="292"/>
      <c r="AC1" s="292"/>
      <c r="AD1" s="291"/>
      <c r="AE1" s="291"/>
      <c r="AF1" s="292"/>
      <c r="AG1" s="292"/>
      <c r="AH1" s="291"/>
      <c r="AI1" s="291"/>
      <c r="AJ1" s="292"/>
      <c r="AK1" s="292"/>
      <c r="AL1" s="291"/>
      <c r="AM1" s="291"/>
      <c r="AN1" s="292"/>
      <c r="AO1" s="292"/>
      <c r="AP1" s="291"/>
      <c r="AQ1" s="291"/>
      <c r="AR1" s="292"/>
      <c r="AS1" s="292"/>
      <c r="AT1" s="291"/>
      <c r="AU1" s="291"/>
      <c r="AV1" s="292"/>
      <c r="AW1" s="292"/>
      <c r="AX1" s="291"/>
      <c r="AY1" s="291"/>
      <c r="AZ1" s="292"/>
      <c r="BA1" s="292"/>
      <c r="BB1" s="292"/>
    </row>
    <row r="2" spans="1:55" s="298" customFormat="1" ht="24" x14ac:dyDescent="0.55000000000000004">
      <c r="A2" s="111" t="s">
        <v>297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297"/>
      <c r="U2" s="297"/>
      <c r="V2" s="296"/>
      <c r="W2" s="296"/>
      <c r="X2" s="297"/>
      <c r="Y2" s="297"/>
      <c r="Z2" s="296"/>
      <c r="AA2" s="296"/>
      <c r="AB2" s="297"/>
      <c r="AC2" s="297"/>
      <c r="AD2" s="296"/>
      <c r="AE2" s="296"/>
      <c r="AF2" s="297"/>
      <c r="AG2" s="297"/>
      <c r="AH2" s="296"/>
      <c r="AI2" s="296"/>
      <c r="AJ2" s="297"/>
      <c r="AK2" s="297"/>
      <c r="AL2" s="296"/>
      <c r="AM2" s="296"/>
      <c r="AN2" s="297"/>
      <c r="AO2" s="297"/>
      <c r="AP2" s="296"/>
      <c r="AQ2" s="296"/>
      <c r="AR2" s="297"/>
      <c r="AS2" s="297"/>
      <c r="AT2" s="296"/>
      <c r="AU2" s="296"/>
      <c r="AV2" s="297"/>
      <c r="AW2" s="297"/>
      <c r="AX2" s="296"/>
      <c r="AY2" s="296"/>
      <c r="AZ2" s="297"/>
      <c r="BA2" s="297"/>
      <c r="BB2" s="297"/>
    </row>
    <row r="3" spans="1:55" s="233" customFormat="1" ht="24" customHeight="1" x14ac:dyDescent="0.55000000000000004">
      <c r="A3" s="293" t="s">
        <v>296</v>
      </c>
      <c r="B3" s="294"/>
      <c r="C3" s="294"/>
      <c r="D3" s="308"/>
      <c r="E3" s="308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5"/>
    </row>
    <row r="4" spans="1:55" ht="21.75" customHeight="1" x14ac:dyDescent="0.2">
      <c r="A4" s="318" t="s">
        <v>203</v>
      </c>
      <c r="B4" s="324" t="s">
        <v>29</v>
      </c>
      <c r="C4" s="317" t="s">
        <v>95</v>
      </c>
      <c r="D4" s="351" t="s">
        <v>208</v>
      </c>
      <c r="E4" s="352"/>
      <c r="F4" s="345">
        <v>24989</v>
      </c>
      <c r="G4" s="346"/>
      <c r="H4" s="347" t="s">
        <v>172</v>
      </c>
      <c r="I4" s="348"/>
      <c r="J4" s="345">
        <v>25019</v>
      </c>
      <c r="K4" s="346"/>
      <c r="L4" s="347" t="s">
        <v>172</v>
      </c>
      <c r="M4" s="348"/>
      <c r="N4" s="345">
        <v>25050</v>
      </c>
      <c r="O4" s="346"/>
      <c r="P4" s="347" t="s">
        <v>172</v>
      </c>
      <c r="Q4" s="348"/>
      <c r="R4" s="345">
        <v>25081</v>
      </c>
      <c r="S4" s="346"/>
      <c r="T4" s="347" t="s">
        <v>172</v>
      </c>
      <c r="U4" s="348"/>
      <c r="V4" s="345">
        <v>25111</v>
      </c>
      <c r="W4" s="346"/>
      <c r="X4" s="347" t="s">
        <v>172</v>
      </c>
      <c r="Y4" s="348"/>
      <c r="Z4" s="345">
        <v>25142</v>
      </c>
      <c r="AA4" s="346"/>
      <c r="AB4" s="347" t="s">
        <v>172</v>
      </c>
      <c r="AC4" s="348"/>
      <c r="AD4" s="345">
        <v>25172</v>
      </c>
      <c r="AE4" s="346"/>
      <c r="AF4" s="347" t="s">
        <v>172</v>
      </c>
      <c r="AG4" s="348"/>
      <c r="AH4" s="345">
        <v>25203</v>
      </c>
      <c r="AI4" s="346"/>
      <c r="AJ4" s="347" t="s">
        <v>207</v>
      </c>
      <c r="AK4" s="348"/>
      <c r="AL4" s="345">
        <v>25234</v>
      </c>
      <c r="AM4" s="346"/>
      <c r="AN4" s="347" t="s">
        <v>172</v>
      </c>
      <c r="AO4" s="348"/>
      <c r="AP4" s="345">
        <v>25262</v>
      </c>
      <c r="AQ4" s="346"/>
      <c r="AR4" s="347" t="s">
        <v>172</v>
      </c>
      <c r="AS4" s="348"/>
      <c r="AT4" s="345">
        <v>25293</v>
      </c>
      <c r="AU4" s="346"/>
      <c r="AV4" s="347" t="s">
        <v>172</v>
      </c>
      <c r="AW4" s="348"/>
      <c r="AX4" s="345">
        <v>25323</v>
      </c>
      <c r="AY4" s="346"/>
      <c r="AZ4" s="347" t="s">
        <v>207</v>
      </c>
      <c r="BA4" s="348"/>
      <c r="BB4" s="284"/>
    </row>
    <row r="5" spans="1:55" ht="21.75" customHeight="1" x14ac:dyDescent="0.2">
      <c r="A5" s="331"/>
      <c r="B5" s="324"/>
      <c r="C5" s="317"/>
      <c r="D5" s="353">
        <v>244104</v>
      </c>
      <c r="E5" s="354"/>
      <c r="F5" s="346"/>
      <c r="G5" s="346"/>
      <c r="H5" s="349"/>
      <c r="I5" s="350"/>
      <c r="J5" s="346"/>
      <c r="K5" s="346"/>
      <c r="L5" s="349"/>
      <c r="M5" s="350"/>
      <c r="N5" s="346"/>
      <c r="O5" s="346"/>
      <c r="P5" s="349"/>
      <c r="Q5" s="350"/>
      <c r="R5" s="346"/>
      <c r="S5" s="346"/>
      <c r="T5" s="349"/>
      <c r="U5" s="350"/>
      <c r="V5" s="346"/>
      <c r="W5" s="346"/>
      <c r="X5" s="349"/>
      <c r="Y5" s="350"/>
      <c r="Z5" s="346"/>
      <c r="AA5" s="346"/>
      <c r="AB5" s="349"/>
      <c r="AC5" s="350"/>
      <c r="AD5" s="346"/>
      <c r="AE5" s="346"/>
      <c r="AF5" s="349"/>
      <c r="AG5" s="350"/>
      <c r="AH5" s="346"/>
      <c r="AI5" s="346"/>
      <c r="AJ5" s="349"/>
      <c r="AK5" s="350"/>
      <c r="AL5" s="346"/>
      <c r="AM5" s="346"/>
      <c r="AN5" s="349"/>
      <c r="AO5" s="350"/>
      <c r="AP5" s="346"/>
      <c r="AQ5" s="346"/>
      <c r="AR5" s="349"/>
      <c r="AS5" s="350"/>
      <c r="AT5" s="346"/>
      <c r="AU5" s="346"/>
      <c r="AV5" s="349"/>
      <c r="AW5" s="350"/>
      <c r="AX5" s="346"/>
      <c r="AY5" s="346"/>
      <c r="AZ5" s="349"/>
      <c r="BA5" s="350"/>
      <c r="BB5" s="284"/>
    </row>
    <row r="6" spans="1:55" x14ac:dyDescent="0.5">
      <c r="A6" s="332"/>
      <c r="B6" s="324"/>
      <c r="C6" s="215" t="s">
        <v>96</v>
      </c>
      <c r="D6" s="249" t="s">
        <v>38</v>
      </c>
      <c r="E6" s="249" t="s">
        <v>39</v>
      </c>
      <c r="F6" s="249" t="s">
        <v>38</v>
      </c>
      <c r="G6" s="249" t="s">
        <v>39</v>
      </c>
      <c r="H6" s="159" t="s">
        <v>38</v>
      </c>
      <c r="I6" s="159" t="s">
        <v>39</v>
      </c>
      <c r="J6" s="249" t="s">
        <v>38</v>
      </c>
      <c r="K6" s="249" t="s">
        <v>39</v>
      </c>
      <c r="L6" s="159" t="s">
        <v>38</v>
      </c>
      <c r="M6" s="159" t="s">
        <v>39</v>
      </c>
      <c r="N6" s="249" t="s">
        <v>38</v>
      </c>
      <c r="O6" s="249" t="s">
        <v>39</v>
      </c>
      <c r="P6" s="159" t="s">
        <v>38</v>
      </c>
      <c r="Q6" s="159" t="s">
        <v>39</v>
      </c>
      <c r="R6" s="249" t="s">
        <v>38</v>
      </c>
      <c r="S6" s="249" t="s">
        <v>39</v>
      </c>
      <c r="T6" s="159" t="s">
        <v>38</v>
      </c>
      <c r="U6" s="159" t="s">
        <v>39</v>
      </c>
      <c r="V6" s="249" t="s">
        <v>38</v>
      </c>
      <c r="W6" s="249" t="s">
        <v>39</v>
      </c>
      <c r="X6" s="159" t="s">
        <v>38</v>
      </c>
      <c r="Y6" s="159" t="s">
        <v>39</v>
      </c>
      <c r="Z6" s="249" t="s">
        <v>38</v>
      </c>
      <c r="AA6" s="249" t="s">
        <v>39</v>
      </c>
      <c r="AB6" s="159" t="s">
        <v>38</v>
      </c>
      <c r="AC6" s="159" t="s">
        <v>39</v>
      </c>
      <c r="AD6" s="249" t="s">
        <v>38</v>
      </c>
      <c r="AE6" s="249" t="s">
        <v>39</v>
      </c>
      <c r="AF6" s="159" t="s">
        <v>38</v>
      </c>
      <c r="AG6" s="159" t="s">
        <v>39</v>
      </c>
      <c r="AH6" s="249" t="s">
        <v>38</v>
      </c>
      <c r="AI6" s="249" t="s">
        <v>39</v>
      </c>
      <c r="AJ6" s="159" t="s">
        <v>38</v>
      </c>
      <c r="AK6" s="159" t="s">
        <v>39</v>
      </c>
      <c r="AL6" s="249" t="s">
        <v>38</v>
      </c>
      <c r="AM6" s="249" t="s">
        <v>39</v>
      </c>
      <c r="AN6" s="159" t="s">
        <v>38</v>
      </c>
      <c r="AO6" s="159" t="s">
        <v>39</v>
      </c>
      <c r="AP6" s="249" t="s">
        <v>38</v>
      </c>
      <c r="AQ6" s="249" t="s">
        <v>39</v>
      </c>
      <c r="AR6" s="159" t="s">
        <v>38</v>
      </c>
      <c r="AS6" s="159" t="s">
        <v>39</v>
      </c>
      <c r="AT6" s="249" t="s">
        <v>38</v>
      </c>
      <c r="AU6" s="249" t="s">
        <v>39</v>
      </c>
      <c r="AV6" s="159" t="s">
        <v>38</v>
      </c>
      <c r="AW6" s="159" t="s">
        <v>39</v>
      </c>
      <c r="AX6" s="249" t="s">
        <v>38</v>
      </c>
      <c r="AY6" s="249" t="s">
        <v>39</v>
      </c>
      <c r="AZ6" s="159" t="s">
        <v>38</v>
      </c>
      <c r="BA6" s="159" t="s">
        <v>39</v>
      </c>
      <c r="BB6" s="285"/>
    </row>
    <row r="7" spans="1:55" ht="24" x14ac:dyDescent="0.5">
      <c r="A7" s="216"/>
      <c r="B7" s="232"/>
      <c r="C7" s="215"/>
      <c r="D7" s="249"/>
      <c r="E7" s="249"/>
      <c r="F7" s="249"/>
      <c r="G7" s="249"/>
      <c r="H7" s="273"/>
      <c r="I7" s="159"/>
      <c r="J7" s="249"/>
      <c r="K7" s="249"/>
      <c r="L7" s="159"/>
      <c r="M7" s="159"/>
      <c r="N7" s="249"/>
      <c r="O7" s="249"/>
      <c r="P7" s="159"/>
      <c r="Q7" s="159"/>
      <c r="R7" s="249"/>
      <c r="S7" s="249"/>
      <c r="T7" s="159"/>
      <c r="U7" s="159"/>
      <c r="V7" s="249"/>
      <c r="W7" s="249"/>
      <c r="X7" s="159"/>
      <c r="Y7" s="159"/>
      <c r="Z7" s="249"/>
      <c r="AA7" s="249"/>
      <c r="AB7" s="159"/>
      <c r="AC7" s="159"/>
      <c r="AD7" s="249"/>
      <c r="AE7" s="249"/>
      <c r="AF7" s="159"/>
      <c r="AG7" s="159"/>
      <c r="AH7" s="249"/>
      <c r="AI7" s="249"/>
      <c r="AJ7" s="159"/>
      <c r="AK7" s="159"/>
      <c r="AL7" s="249"/>
      <c r="AM7" s="249"/>
      <c r="AN7" s="159"/>
      <c r="AO7" s="159"/>
      <c r="AP7" s="249"/>
      <c r="AQ7" s="249"/>
      <c r="AR7" s="159"/>
      <c r="AS7" s="159"/>
      <c r="AT7" s="249"/>
      <c r="AU7" s="249"/>
      <c r="AV7" s="159"/>
      <c r="AW7" s="159"/>
      <c r="AX7" s="249"/>
      <c r="AY7" s="249"/>
      <c r="AZ7" s="159"/>
      <c r="BA7" s="159"/>
      <c r="BB7" s="285"/>
    </row>
    <row r="8" spans="1:55" ht="20.100000000000001" customHeight="1" x14ac:dyDescent="0.55000000000000004">
      <c r="A8" s="217">
        <v>1</v>
      </c>
      <c r="B8" s="218" t="s">
        <v>1</v>
      </c>
      <c r="C8" s="219" t="s">
        <v>283</v>
      </c>
      <c r="D8" s="250">
        <v>34303.019999999997</v>
      </c>
      <c r="E8" s="250"/>
      <c r="F8" s="251">
        <v>15000</v>
      </c>
      <c r="G8" s="250">
        <v>19223.32</v>
      </c>
      <c r="H8" s="237">
        <f>SUM(D8+F8-G8)</f>
        <v>30079.699999999997</v>
      </c>
      <c r="I8" s="239">
        <v>0</v>
      </c>
      <c r="J8" s="251">
        <v>15000</v>
      </c>
      <c r="K8" s="250">
        <v>18171.439999999999</v>
      </c>
      <c r="L8" s="239">
        <f>SUM(H8+J8-K8)</f>
        <v>26908.26</v>
      </c>
      <c r="M8" s="239">
        <v>0</v>
      </c>
      <c r="N8" s="251">
        <v>24110.720000000001</v>
      </c>
      <c r="O8" s="250">
        <v>26899.55</v>
      </c>
      <c r="P8" s="239">
        <f>SUM(L8+N8-O8)</f>
        <v>24119.429999999997</v>
      </c>
      <c r="Q8" s="239">
        <v>0</v>
      </c>
      <c r="R8" s="251">
        <v>20100</v>
      </c>
      <c r="S8" s="250">
        <v>20063</v>
      </c>
      <c r="T8" s="239">
        <f>SUM(P8+R8-S8)</f>
        <v>24156.429999999993</v>
      </c>
      <c r="U8" s="239">
        <v>0</v>
      </c>
      <c r="V8" s="251">
        <f>29411.93+242.96+670.47</f>
        <v>30325.360000000001</v>
      </c>
      <c r="W8" s="250">
        <f>37541.04+242.96</f>
        <v>37784</v>
      </c>
      <c r="X8" s="239">
        <f>SUM(T8+V8-W8)</f>
        <v>16697.789999999994</v>
      </c>
      <c r="Y8" s="239">
        <v>0</v>
      </c>
      <c r="Z8" s="251">
        <v>27005.759999999998</v>
      </c>
      <c r="AA8" s="250">
        <v>25290.720000000001</v>
      </c>
      <c r="AB8" s="239">
        <f>SUM(X8+Z8-AA8)</f>
        <v>18412.829999999987</v>
      </c>
      <c r="AC8" s="239">
        <v>0</v>
      </c>
      <c r="AD8" s="251">
        <v>21233.71</v>
      </c>
      <c r="AE8" s="250">
        <v>21591.47</v>
      </c>
      <c r="AF8" s="239">
        <f t="shared" ref="AF8:AF51" si="0">SUM(AB8+AD8-AE8)</f>
        <v>18055.069999999985</v>
      </c>
      <c r="AG8" s="239"/>
      <c r="AH8" s="251">
        <v>17107.400000000001</v>
      </c>
      <c r="AI8" s="250">
        <v>19748.97</v>
      </c>
      <c r="AJ8" s="239">
        <f t="shared" ref="AJ8:AJ51" si="1">SUM(AF8+AH8-AI8)</f>
        <v>15413.499999999985</v>
      </c>
      <c r="AK8" s="239"/>
      <c r="AL8" s="251"/>
      <c r="AM8" s="250"/>
      <c r="AN8" s="239">
        <f t="shared" ref="AN8:AN12" si="2">SUM(AJ8+AL8-AM8)</f>
        <v>15413.499999999985</v>
      </c>
      <c r="AO8" s="239"/>
      <c r="AP8" s="251"/>
      <c r="AQ8" s="250"/>
      <c r="AR8" s="239">
        <f t="shared" ref="AR8:AR12" si="3">SUM(AN8+AP8-AQ8)</f>
        <v>15413.499999999985</v>
      </c>
      <c r="AS8" s="239"/>
      <c r="AT8" s="251"/>
      <c r="AU8" s="250"/>
      <c r="AV8" s="239">
        <f t="shared" ref="AV8:AV12" si="4">SUM(AR8+AT8-AU8)</f>
        <v>15413.499999999985</v>
      </c>
      <c r="AW8" s="239"/>
      <c r="AX8" s="251"/>
      <c r="AY8" s="250"/>
      <c r="AZ8" s="239">
        <f t="shared" ref="AZ8:AZ12" si="5">SUM(AV8+AX8-AY8)</f>
        <v>15413.499999999985</v>
      </c>
      <c r="BA8" s="239"/>
      <c r="BB8" s="286"/>
    </row>
    <row r="9" spans="1:55" ht="20.100000000000001" customHeight="1" x14ac:dyDescent="0.55000000000000004">
      <c r="A9" s="246">
        <v>2</v>
      </c>
      <c r="B9" s="220" t="s">
        <v>40</v>
      </c>
      <c r="C9" s="221" t="s">
        <v>284</v>
      </c>
      <c r="D9" s="252">
        <v>274564.59000000003</v>
      </c>
      <c r="E9" s="275"/>
      <c r="F9" s="255"/>
      <c r="G9" s="252"/>
      <c r="H9" s="238">
        <f t="shared" ref="H9:H74" si="6">SUM(D9+F9-G9)</f>
        <v>274564.59000000003</v>
      </c>
      <c r="I9" s="237">
        <v>0</v>
      </c>
      <c r="J9" s="255"/>
      <c r="K9" s="252"/>
      <c r="L9" s="237">
        <f>SUM(H9+J9-K9)</f>
        <v>274564.59000000003</v>
      </c>
      <c r="M9" s="237">
        <v>0</v>
      </c>
      <c r="N9" s="255"/>
      <c r="O9" s="252"/>
      <c r="P9" s="237">
        <f>SUM(L9+N9-O9)</f>
        <v>274564.59000000003</v>
      </c>
      <c r="Q9" s="237">
        <v>0</v>
      </c>
      <c r="R9" s="255"/>
      <c r="S9" s="252"/>
      <c r="T9" s="237">
        <f>SUM(P9+R9-S9)</f>
        <v>274564.59000000003</v>
      </c>
      <c r="U9" s="237">
        <v>0</v>
      </c>
      <c r="V9" s="255"/>
      <c r="W9" s="252"/>
      <c r="X9" s="237">
        <f>SUM(T9+V9-W9)</f>
        <v>274564.59000000003</v>
      </c>
      <c r="Y9" s="237">
        <v>0</v>
      </c>
      <c r="Z9" s="255"/>
      <c r="AA9" s="252"/>
      <c r="AB9" s="237">
        <f>SUM(X9+Z9-AA9)</f>
        <v>274564.59000000003</v>
      </c>
      <c r="AC9" s="237">
        <v>0</v>
      </c>
      <c r="AD9" s="255"/>
      <c r="AE9" s="252">
        <v>15000</v>
      </c>
      <c r="AF9" s="239">
        <f t="shared" si="0"/>
        <v>259564.59000000003</v>
      </c>
      <c r="AG9" s="239"/>
      <c r="AH9" s="255">
        <v>3000</v>
      </c>
      <c r="AI9" s="252">
        <v>15000</v>
      </c>
      <c r="AJ9" s="239">
        <f t="shared" si="1"/>
        <v>247564.59000000003</v>
      </c>
      <c r="AK9" s="239"/>
      <c r="AL9" s="255"/>
      <c r="AM9" s="252"/>
      <c r="AN9" s="239">
        <f t="shared" si="2"/>
        <v>247564.59000000003</v>
      </c>
      <c r="AO9" s="239"/>
      <c r="AP9" s="255"/>
      <c r="AQ9" s="252"/>
      <c r="AR9" s="239">
        <f t="shared" si="3"/>
        <v>247564.59000000003</v>
      </c>
      <c r="AS9" s="239"/>
      <c r="AT9" s="255"/>
      <c r="AU9" s="252"/>
      <c r="AV9" s="239">
        <f t="shared" si="4"/>
        <v>247564.59000000003</v>
      </c>
      <c r="AW9" s="239"/>
      <c r="AX9" s="255"/>
      <c r="AY9" s="252"/>
      <c r="AZ9" s="239">
        <f t="shared" si="5"/>
        <v>247564.59000000003</v>
      </c>
      <c r="BA9" s="239"/>
      <c r="BB9" s="286"/>
    </row>
    <row r="10" spans="1:55" ht="20.100000000000001" customHeight="1" x14ac:dyDescent="0.55000000000000004">
      <c r="A10" s="246">
        <v>3</v>
      </c>
      <c r="B10" s="222" t="s">
        <v>246</v>
      </c>
      <c r="C10" s="221">
        <v>25</v>
      </c>
      <c r="D10" s="252">
        <v>597.76</v>
      </c>
      <c r="E10" s="254"/>
      <c r="F10" s="254"/>
      <c r="G10" s="252"/>
      <c r="H10" s="238">
        <f t="shared" si="6"/>
        <v>597.76</v>
      </c>
      <c r="I10" s="237">
        <v>0</v>
      </c>
      <c r="J10" s="254"/>
      <c r="K10" s="252"/>
      <c r="L10" s="237">
        <f>SUM(H10+J10-K10)</f>
        <v>597.76</v>
      </c>
      <c r="M10" s="237">
        <v>0</v>
      </c>
      <c r="N10" s="254"/>
      <c r="O10" s="252"/>
      <c r="P10" s="237">
        <f>SUM(L10+N10-O10)</f>
        <v>597.76</v>
      </c>
      <c r="Q10" s="237">
        <v>0</v>
      </c>
      <c r="R10" s="254"/>
      <c r="S10" s="252"/>
      <c r="T10" s="237">
        <f>SUM(P10+R10-S10)</f>
        <v>597.76</v>
      </c>
      <c r="U10" s="237">
        <v>0</v>
      </c>
      <c r="V10" s="254"/>
      <c r="W10" s="252"/>
      <c r="X10" s="237">
        <f>SUM(T10+V10-W10)</f>
        <v>597.76</v>
      </c>
      <c r="Y10" s="237">
        <v>0</v>
      </c>
      <c r="Z10" s="254"/>
      <c r="AA10" s="252"/>
      <c r="AB10" s="237">
        <f>SUM(X10+Z10-AA10)</f>
        <v>597.76</v>
      </c>
      <c r="AC10" s="237">
        <v>0</v>
      </c>
      <c r="AD10" s="254"/>
      <c r="AE10" s="252"/>
      <c r="AF10" s="239">
        <f t="shared" si="0"/>
        <v>597.76</v>
      </c>
      <c r="AG10" s="239">
        <f>SUM(AC10+AE10-AD10)</f>
        <v>0</v>
      </c>
      <c r="AH10" s="254"/>
      <c r="AI10" s="252"/>
      <c r="AJ10" s="239">
        <f t="shared" si="1"/>
        <v>597.76</v>
      </c>
      <c r="AK10" s="239">
        <f>SUM(AG10+AI10-AH10)</f>
        <v>0</v>
      </c>
      <c r="AL10" s="254"/>
      <c r="AM10" s="252"/>
      <c r="AN10" s="239">
        <f t="shared" si="2"/>
        <v>597.76</v>
      </c>
      <c r="AO10" s="239">
        <f>SUM(AK10+AM10-AL10)</f>
        <v>0</v>
      </c>
      <c r="AP10" s="254"/>
      <c r="AQ10" s="252"/>
      <c r="AR10" s="239">
        <f t="shared" si="3"/>
        <v>597.76</v>
      </c>
      <c r="AS10" s="239">
        <f>SUM(AO10+AQ10-AP10)</f>
        <v>0</v>
      </c>
      <c r="AT10" s="254"/>
      <c r="AU10" s="252"/>
      <c r="AV10" s="239">
        <f t="shared" si="4"/>
        <v>597.76</v>
      </c>
      <c r="AW10" s="239"/>
      <c r="AX10" s="254"/>
      <c r="AY10" s="252"/>
      <c r="AZ10" s="239">
        <f t="shared" si="5"/>
        <v>597.76</v>
      </c>
      <c r="BA10" s="239">
        <f>SUM(AW10+AY10-AX10)</f>
        <v>0</v>
      </c>
      <c r="BB10" s="286"/>
      <c r="BC10" s="301"/>
    </row>
    <row r="11" spans="1:55" ht="20.100000000000001" customHeight="1" x14ac:dyDescent="0.55000000000000004">
      <c r="A11" s="246">
        <v>4</v>
      </c>
      <c r="B11" s="223" t="s">
        <v>247</v>
      </c>
      <c r="C11" s="221" t="s">
        <v>285</v>
      </c>
      <c r="D11" s="254">
        <v>52476.639999999999</v>
      </c>
      <c r="E11" s="254"/>
      <c r="F11" s="254"/>
      <c r="G11" s="252">
        <v>15000</v>
      </c>
      <c r="H11" s="237">
        <f t="shared" si="6"/>
        <v>37476.639999999999</v>
      </c>
      <c r="I11" s="237">
        <v>0</v>
      </c>
      <c r="J11" s="254">
        <v>54000</v>
      </c>
      <c r="K11" s="252">
        <v>15000</v>
      </c>
      <c r="L11" s="237">
        <f t="shared" ref="L11:L12" si="7">SUM(H11+J11-K11)</f>
        <v>76476.639999999999</v>
      </c>
      <c r="M11" s="237">
        <v>0</v>
      </c>
      <c r="N11" s="254"/>
      <c r="O11" s="252">
        <v>15000</v>
      </c>
      <c r="P11" s="237">
        <f t="shared" ref="P11:P12" si="8">SUM(L11+N11-O11)</f>
        <v>61476.639999999999</v>
      </c>
      <c r="Q11" s="237">
        <v>0</v>
      </c>
      <c r="R11" s="254"/>
      <c r="S11" s="252">
        <v>15000</v>
      </c>
      <c r="T11" s="237">
        <f t="shared" ref="T11:T12" si="9">SUM(P11+R11-S11)</f>
        <v>46476.639999999999</v>
      </c>
      <c r="U11" s="237">
        <v>0</v>
      </c>
      <c r="V11" s="254"/>
      <c r="W11" s="252">
        <v>15000</v>
      </c>
      <c r="X11" s="237">
        <f t="shared" ref="X11:X12" si="10">SUM(T11+V11-W11)</f>
        <v>31476.639999999999</v>
      </c>
      <c r="Y11" s="237">
        <v>0</v>
      </c>
      <c r="Z11" s="254"/>
      <c r="AA11" s="252">
        <v>15000</v>
      </c>
      <c r="AB11" s="237">
        <f t="shared" ref="AB11:AB12" si="11">SUM(X11+Z11-AA11)</f>
        <v>16476.64</v>
      </c>
      <c r="AC11" s="237">
        <v>0</v>
      </c>
      <c r="AD11" s="254"/>
      <c r="AE11" s="252"/>
      <c r="AF11" s="239">
        <f t="shared" si="0"/>
        <v>16476.64</v>
      </c>
      <c r="AG11" s="239"/>
      <c r="AH11" s="254"/>
      <c r="AI11" s="252"/>
      <c r="AJ11" s="239">
        <f t="shared" si="1"/>
        <v>16476.64</v>
      </c>
      <c r="AK11" s="239"/>
      <c r="AL11" s="254"/>
      <c r="AM11" s="252"/>
      <c r="AN11" s="239">
        <f t="shared" si="2"/>
        <v>16476.64</v>
      </c>
      <c r="AO11" s="239"/>
      <c r="AP11" s="254"/>
      <c r="AQ11" s="252"/>
      <c r="AR11" s="239">
        <f t="shared" si="3"/>
        <v>16476.64</v>
      </c>
      <c r="AS11" s="239"/>
      <c r="AT11" s="254"/>
      <c r="AU11" s="252"/>
      <c r="AV11" s="239">
        <f t="shared" si="4"/>
        <v>16476.64</v>
      </c>
      <c r="AW11" s="239"/>
      <c r="AX11" s="254"/>
      <c r="AY11" s="252"/>
      <c r="AZ11" s="239">
        <f t="shared" si="5"/>
        <v>16476.64</v>
      </c>
      <c r="BA11" s="239"/>
      <c r="BB11" s="286"/>
      <c r="BC11" s="301"/>
    </row>
    <row r="12" spans="1:55" ht="20.100000000000001" customHeight="1" x14ac:dyDescent="0.55000000000000004">
      <c r="A12" s="246">
        <v>5</v>
      </c>
      <c r="B12" s="220" t="s">
        <v>248</v>
      </c>
      <c r="C12" s="221">
        <v>30</v>
      </c>
      <c r="D12" s="255">
        <v>515.70000000000005</v>
      </c>
      <c r="E12" s="254"/>
      <c r="F12" s="254"/>
      <c r="G12" s="252"/>
      <c r="H12" s="244">
        <f t="shared" si="6"/>
        <v>515.70000000000005</v>
      </c>
      <c r="I12" s="237">
        <v>0</v>
      </c>
      <c r="J12" s="254"/>
      <c r="K12" s="252"/>
      <c r="L12" s="237">
        <f t="shared" si="7"/>
        <v>515.70000000000005</v>
      </c>
      <c r="M12" s="237">
        <v>0</v>
      </c>
      <c r="N12" s="254"/>
      <c r="O12" s="252"/>
      <c r="P12" s="237">
        <f t="shared" si="8"/>
        <v>515.70000000000005</v>
      </c>
      <c r="Q12" s="237">
        <v>0</v>
      </c>
      <c r="R12" s="254"/>
      <c r="S12" s="252"/>
      <c r="T12" s="237">
        <f t="shared" si="9"/>
        <v>515.70000000000005</v>
      </c>
      <c r="U12" s="237">
        <v>0</v>
      </c>
      <c r="V12" s="254"/>
      <c r="W12" s="252"/>
      <c r="X12" s="237">
        <f t="shared" si="10"/>
        <v>515.70000000000005</v>
      </c>
      <c r="Y12" s="237">
        <v>0</v>
      </c>
      <c r="Z12" s="254"/>
      <c r="AA12" s="252"/>
      <c r="AB12" s="237">
        <f t="shared" si="11"/>
        <v>515.70000000000005</v>
      </c>
      <c r="AC12" s="237">
        <v>0</v>
      </c>
      <c r="AD12" s="254"/>
      <c r="AE12" s="252"/>
      <c r="AF12" s="239">
        <f t="shared" si="0"/>
        <v>515.70000000000005</v>
      </c>
      <c r="AG12" s="239">
        <f t="shared" ref="AG12:AG23" si="12">SUM(AC12+AE12-AD12)</f>
        <v>0</v>
      </c>
      <c r="AH12" s="254"/>
      <c r="AI12" s="252"/>
      <c r="AJ12" s="239">
        <f t="shared" si="1"/>
        <v>515.70000000000005</v>
      </c>
      <c r="AK12" s="239">
        <f t="shared" ref="AK12:AK23" si="13">SUM(AG12+AI12-AH12)</f>
        <v>0</v>
      </c>
      <c r="AL12" s="254"/>
      <c r="AM12" s="252"/>
      <c r="AN12" s="239">
        <f t="shared" si="2"/>
        <v>515.70000000000005</v>
      </c>
      <c r="AO12" s="239">
        <f t="shared" ref="AO12:AO13" si="14">SUM(AK12+AM12-AL12)</f>
        <v>0</v>
      </c>
      <c r="AP12" s="254"/>
      <c r="AQ12" s="252"/>
      <c r="AR12" s="239">
        <f t="shared" si="3"/>
        <v>515.70000000000005</v>
      </c>
      <c r="AS12" s="239">
        <f t="shared" ref="AS12:AS13" si="15">SUM(AO12+AQ12-AP12)</f>
        <v>0</v>
      </c>
      <c r="AT12" s="254"/>
      <c r="AU12" s="252"/>
      <c r="AV12" s="239">
        <f t="shared" si="4"/>
        <v>515.70000000000005</v>
      </c>
      <c r="AW12" s="239"/>
      <c r="AX12" s="254"/>
      <c r="AY12" s="252"/>
      <c r="AZ12" s="239">
        <f t="shared" si="5"/>
        <v>515.70000000000005</v>
      </c>
      <c r="BA12" s="239">
        <f t="shared" ref="BA12:BA13" si="16">SUM(AW12+AY12-AX12)</f>
        <v>0</v>
      </c>
      <c r="BB12" s="286"/>
      <c r="BC12" s="301"/>
    </row>
    <row r="13" spans="1:55" ht="20.100000000000001" customHeight="1" x14ac:dyDescent="0.55000000000000004">
      <c r="A13" s="246">
        <v>6</v>
      </c>
      <c r="B13" s="222" t="s">
        <v>82</v>
      </c>
      <c r="C13" s="221">
        <v>31</v>
      </c>
      <c r="D13" s="254"/>
      <c r="E13" s="253"/>
      <c r="F13" s="253"/>
      <c r="G13" s="252"/>
      <c r="H13" s="238">
        <f t="shared" si="6"/>
        <v>0</v>
      </c>
      <c r="I13" s="237">
        <f>E13+G13-F13</f>
        <v>0</v>
      </c>
      <c r="J13" s="253">
        <v>54000</v>
      </c>
      <c r="K13" s="252">
        <v>54000</v>
      </c>
      <c r="L13" s="237"/>
      <c r="M13" s="237">
        <f>I13+K13-J13</f>
        <v>0</v>
      </c>
      <c r="N13" s="253"/>
      <c r="O13" s="252"/>
      <c r="P13" s="237"/>
      <c r="Q13" s="237">
        <f>M13+O13-N13</f>
        <v>0</v>
      </c>
      <c r="R13" s="253"/>
      <c r="S13" s="252"/>
      <c r="T13" s="237"/>
      <c r="U13" s="237">
        <f>Q13+S13-R13</f>
        <v>0</v>
      </c>
      <c r="V13" s="253"/>
      <c r="W13" s="252"/>
      <c r="X13" s="237"/>
      <c r="Y13" s="237">
        <f>U13+W13-V13</f>
        <v>0</v>
      </c>
      <c r="Z13" s="253"/>
      <c r="AA13" s="252"/>
      <c r="AB13" s="237"/>
      <c r="AC13" s="237">
        <f>Y13+AA13-Z13</f>
        <v>0</v>
      </c>
      <c r="AD13" s="253"/>
      <c r="AE13" s="252"/>
      <c r="AF13" s="239">
        <f t="shared" si="0"/>
        <v>0</v>
      </c>
      <c r="AG13" s="239">
        <f t="shared" si="12"/>
        <v>0</v>
      </c>
      <c r="AH13" s="253"/>
      <c r="AI13" s="252"/>
      <c r="AJ13" s="239"/>
      <c r="AK13" s="239">
        <f t="shared" si="13"/>
        <v>0</v>
      </c>
      <c r="AL13" s="253"/>
      <c r="AM13" s="252"/>
      <c r="AN13" s="239"/>
      <c r="AO13" s="239">
        <f t="shared" si="14"/>
        <v>0</v>
      </c>
      <c r="AP13" s="253"/>
      <c r="AQ13" s="252"/>
      <c r="AR13" s="239"/>
      <c r="AS13" s="239">
        <f t="shared" si="15"/>
        <v>0</v>
      </c>
      <c r="AT13" s="253"/>
      <c r="AU13" s="252"/>
      <c r="AV13" s="239"/>
      <c r="AW13" s="239">
        <f t="shared" ref="AW13" si="17">SUM(AS13+AU13-AT13)</f>
        <v>0</v>
      </c>
      <c r="AX13" s="253"/>
      <c r="AY13" s="252"/>
      <c r="AZ13" s="239"/>
      <c r="BA13" s="239">
        <f t="shared" si="16"/>
        <v>0</v>
      </c>
      <c r="BB13" s="286"/>
    </row>
    <row r="14" spans="1:55" ht="20.100000000000001" customHeight="1" x14ac:dyDescent="0.55000000000000004">
      <c r="A14" s="246">
        <v>7</v>
      </c>
      <c r="B14" s="222" t="s">
        <v>79</v>
      </c>
      <c r="C14" s="221">
        <v>32</v>
      </c>
      <c r="D14" s="253">
        <v>583662.69999999995</v>
      </c>
      <c r="E14" s="253"/>
      <c r="F14" s="254"/>
      <c r="G14" s="254"/>
      <c r="H14" s="238">
        <f t="shared" si="6"/>
        <v>583662.69999999995</v>
      </c>
      <c r="I14" s="237"/>
      <c r="J14" s="254"/>
      <c r="K14" s="254"/>
      <c r="L14" s="237">
        <f t="shared" ref="L14:L24" si="18">SUM(H14+J14-K14)</f>
        <v>583662.69999999995</v>
      </c>
      <c r="M14" s="237">
        <v>0</v>
      </c>
      <c r="N14" s="254"/>
      <c r="O14" s="254"/>
      <c r="P14" s="237">
        <f t="shared" ref="P14:P24" si="19">SUM(L14+N14-O14)</f>
        <v>583662.69999999995</v>
      </c>
      <c r="Q14" s="237">
        <v>0</v>
      </c>
      <c r="R14" s="254"/>
      <c r="S14" s="254"/>
      <c r="T14" s="237">
        <f t="shared" ref="T14:T19" si="20">SUM(P14+R14-S14)</f>
        <v>583662.69999999995</v>
      </c>
      <c r="U14" s="237">
        <v>0</v>
      </c>
      <c r="V14" s="254"/>
      <c r="W14" s="254"/>
      <c r="X14" s="237">
        <f t="shared" ref="X14:X19" si="21">SUM(T14+V14-W14)</f>
        <v>583662.69999999995</v>
      </c>
      <c r="Y14" s="237">
        <v>0</v>
      </c>
      <c r="Z14" s="254"/>
      <c r="AA14" s="254"/>
      <c r="AB14" s="237">
        <f t="shared" ref="AB14:AB19" si="22">SUM(X14+Z14-AA14)</f>
        <v>583662.69999999995</v>
      </c>
      <c r="AC14" s="237">
        <v>0</v>
      </c>
      <c r="AD14" s="254"/>
      <c r="AE14" s="254"/>
      <c r="AF14" s="239">
        <f t="shared" si="0"/>
        <v>583662.69999999995</v>
      </c>
      <c r="AG14" s="239">
        <f t="shared" si="12"/>
        <v>0</v>
      </c>
      <c r="AH14" s="254"/>
      <c r="AI14" s="254"/>
      <c r="AJ14" s="239">
        <f>SUM(AF14+AH14-AI14)</f>
        <v>583662.69999999995</v>
      </c>
      <c r="AK14" s="239"/>
      <c r="AL14" s="254"/>
      <c r="AM14" s="254"/>
      <c r="AN14" s="239">
        <f>SUM(AJ14+AL14-AM14)</f>
        <v>583662.69999999995</v>
      </c>
      <c r="AO14" s="239"/>
      <c r="AP14" s="254"/>
      <c r="AQ14" s="254"/>
      <c r="AR14" s="239">
        <f>SUM(AN14+AP14-AQ14)</f>
        <v>583662.69999999995</v>
      </c>
      <c r="AS14" s="239"/>
      <c r="AT14" s="254"/>
      <c r="AU14" s="254"/>
      <c r="AV14" s="239">
        <f>SUM(AR14+AT14-AU14)</f>
        <v>583662.69999999995</v>
      </c>
      <c r="AW14" s="239"/>
      <c r="AX14" s="254"/>
      <c r="AY14" s="254"/>
      <c r="AZ14" s="239">
        <f>SUM(AV14+AX14-AY14)</f>
        <v>583662.69999999995</v>
      </c>
      <c r="BA14" s="239"/>
      <c r="BB14" s="286"/>
    </row>
    <row r="15" spans="1:55" ht="20.100000000000001" customHeight="1" x14ac:dyDescent="0.55000000000000004">
      <c r="A15" s="246">
        <v>8</v>
      </c>
      <c r="B15" s="223" t="s">
        <v>48</v>
      </c>
      <c r="C15" s="221">
        <v>33</v>
      </c>
      <c r="D15" s="254"/>
      <c r="E15" s="254">
        <v>583662.69999999995</v>
      </c>
      <c r="F15" s="254"/>
      <c r="G15" s="255"/>
      <c r="H15" s="238">
        <f t="shared" si="6"/>
        <v>0</v>
      </c>
      <c r="I15" s="237">
        <f t="shared" ref="I15:I79" si="23">E15+G15-F15</f>
        <v>583662.69999999995</v>
      </c>
      <c r="J15" s="254"/>
      <c r="K15" s="255"/>
      <c r="L15" s="237">
        <f t="shared" si="18"/>
        <v>0</v>
      </c>
      <c r="M15" s="237">
        <f>I15+K15-J15</f>
        <v>583662.69999999995</v>
      </c>
      <c r="N15" s="254"/>
      <c r="O15" s="255"/>
      <c r="P15" s="237">
        <f t="shared" si="19"/>
        <v>0</v>
      </c>
      <c r="Q15" s="237">
        <f>M15+O15-N15</f>
        <v>583662.69999999995</v>
      </c>
      <c r="R15" s="254"/>
      <c r="S15" s="255"/>
      <c r="T15" s="237">
        <f t="shared" si="20"/>
        <v>0</v>
      </c>
      <c r="U15" s="237">
        <f>Q15+S15-R15</f>
        <v>583662.69999999995</v>
      </c>
      <c r="V15" s="254"/>
      <c r="W15" s="255"/>
      <c r="X15" s="237">
        <f t="shared" si="21"/>
        <v>0</v>
      </c>
      <c r="Y15" s="237">
        <f>U15+W15-V15</f>
        <v>583662.69999999995</v>
      </c>
      <c r="Z15" s="254"/>
      <c r="AA15" s="255"/>
      <c r="AB15" s="237">
        <f t="shared" si="22"/>
        <v>0</v>
      </c>
      <c r="AC15" s="237">
        <f>Y15+AA15-Z15</f>
        <v>583662.69999999995</v>
      </c>
      <c r="AD15" s="254"/>
      <c r="AE15" s="255"/>
      <c r="AF15" s="239">
        <f t="shared" si="0"/>
        <v>0</v>
      </c>
      <c r="AG15" s="239">
        <f t="shared" si="12"/>
        <v>583662.69999999995</v>
      </c>
      <c r="AH15" s="254"/>
      <c r="AI15" s="255"/>
      <c r="AJ15" s="239">
        <f t="shared" si="1"/>
        <v>0</v>
      </c>
      <c r="AK15" s="239">
        <f t="shared" si="13"/>
        <v>583662.69999999995</v>
      </c>
      <c r="AL15" s="254"/>
      <c r="AM15" s="255"/>
      <c r="AN15" s="239">
        <f t="shared" ref="AN15:AN35" si="24">SUM(AJ15+AL15-AM15)</f>
        <v>0</v>
      </c>
      <c r="AO15" s="239">
        <f t="shared" ref="AO15:AO23" si="25">SUM(AK15+AM15-AL15)</f>
        <v>583662.69999999995</v>
      </c>
      <c r="AP15" s="254"/>
      <c r="AQ15" s="255"/>
      <c r="AR15" s="239">
        <f t="shared" ref="AR15:AR35" si="26">SUM(AN15+AP15-AQ15)</f>
        <v>0</v>
      </c>
      <c r="AS15" s="239">
        <f t="shared" ref="AS15:AS23" si="27">SUM(AO15+AQ15-AP15)</f>
        <v>583662.69999999995</v>
      </c>
      <c r="AT15" s="254"/>
      <c r="AU15" s="255"/>
      <c r="AV15" s="239">
        <f t="shared" ref="AV15:AV35" si="28">SUM(AR15+AT15-AU15)</f>
        <v>0</v>
      </c>
      <c r="AW15" s="239">
        <f t="shared" ref="AW15:AW23" si="29">SUM(AS15+AU15-AT15)</f>
        <v>583662.69999999995</v>
      </c>
      <c r="AX15" s="254"/>
      <c r="AY15" s="255"/>
      <c r="AZ15" s="239">
        <f t="shared" ref="AZ15:AZ35" si="30">SUM(AV15+AX15-AY15)</f>
        <v>0</v>
      </c>
      <c r="BA15" s="239">
        <f t="shared" ref="BA15:BA23" si="31">SUM(AW15+AY15-AX15)</f>
        <v>583662.69999999995</v>
      </c>
      <c r="BB15" s="286"/>
    </row>
    <row r="16" spans="1:55" ht="20.100000000000001" customHeight="1" x14ac:dyDescent="0.55000000000000004">
      <c r="A16" s="246">
        <v>9</v>
      </c>
      <c r="B16" s="220" t="s">
        <v>249</v>
      </c>
      <c r="C16" s="221">
        <v>34</v>
      </c>
      <c r="D16" s="254">
        <v>736558</v>
      </c>
      <c r="E16" s="276"/>
      <c r="F16" s="254"/>
      <c r="G16" s="252"/>
      <c r="H16" s="238">
        <f t="shared" si="6"/>
        <v>736558</v>
      </c>
      <c r="I16" s="237">
        <f t="shared" si="23"/>
        <v>0</v>
      </c>
      <c r="J16" s="254"/>
      <c r="K16" s="252"/>
      <c r="L16" s="237">
        <f t="shared" si="18"/>
        <v>736558</v>
      </c>
      <c r="M16" s="237">
        <f t="shared" ref="M16:M23" si="32">I16+K16-J16</f>
        <v>0</v>
      </c>
      <c r="N16" s="254"/>
      <c r="O16" s="252"/>
      <c r="P16" s="237">
        <f t="shared" si="19"/>
        <v>736558</v>
      </c>
      <c r="Q16" s="237">
        <f t="shared" ref="Q16:Q23" si="33">M16+O16-N16</f>
        <v>0</v>
      </c>
      <c r="R16" s="254"/>
      <c r="S16" s="252"/>
      <c r="T16" s="237">
        <f t="shared" si="20"/>
        <v>736558</v>
      </c>
      <c r="U16" s="237">
        <f t="shared" ref="U16:U23" si="34">Q16+S16-R16</f>
        <v>0</v>
      </c>
      <c r="V16" s="254"/>
      <c r="W16" s="252"/>
      <c r="X16" s="237">
        <f t="shared" si="21"/>
        <v>736558</v>
      </c>
      <c r="Y16" s="237">
        <f t="shared" ref="Y16:Y23" si="35">U16+W16-V16</f>
        <v>0</v>
      </c>
      <c r="Z16" s="254"/>
      <c r="AA16" s="252"/>
      <c r="AB16" s="237">
        <f t="shared" si="22"/>
        <v>736558</v>
      </c>
      <c r="AC16" s="237">
        <f t="shared" ref="AC16:AC23" si="36">Y16+AA16-Z16</f>
        <v>0</v>
      </c>
      <c r="AD16" s="254"/>
      <c r="AE16" s="252"/>
      <c r="AF16" s="239">
        <f t="shared" si="0"/>
        <v>736558</v>
      </c>
      <c r="AG16" s="239">
        <f t="shared" si="12"/>
        <v>0</v>
      </c>
      <c r="AH16" s="254"/>
      <c r="AI16" s="252"/>
      <c r="AJ16" s="239">
        <f t="shared" si="1"/>
        <v>736558</v>
      </c>
      <c r="AK16" s="239">
        <f t="shared" si="13"/>
        <v>0</v>
      </c>
      <c r="AL16" s="254"/>
      <c r="AM16" s="252"/>
      <c r="AN16" s="239">
        <f t="shared" si="24"/>
        <v>736558</v>
      </c>
      <c r="AO16" s="239">
        <f t="shared" si="25"/>
        <v>0</v>
      </c>
      <c r="AP16" s="254"/>
      <c r="AQ16" s="252"/>
      <c r="AR16" s="239">
        <f t="shared" si="26"/>
        <v>736558</v>
      </c>
      <c r="AS16" s="239">
        <f t="shared" si="27"/>
        <v>0</v>
      </c>
      <c r="AT16" s="254"/>
      <c r="AU16" s="252"/>
      <c r="AV16" s="239">
        <f t="shared" si="28"/>
        <v>736558</v>
      </c>
      <c r="AW16" s="239">
        <f t="shared" si="29"/>
        <v>0</v>
      </c>
      <c r="AX16" s="254"/>
      <c r="AY16" s="252"/>
      <c r="AZ16" s="239">
        <f t="shared" si="30"/>
        <v>736558</v>
      </c>
      <c r="BA16" s="239">
        <f t="shared" si="31"/>
        <v>0</v>
      </c>
      <c r="BB16" s="286"/>
    </row>
    <row r="17" spans="1:54" ht="20.100000000000001" customHeight="1" x14ac:dyDescent="0.55000000000000004">
      <c r="A17" s="246">
        <v>10</v>
      </c>
      <c r="B17" s="223" t="s">
        <v>240</v>
      </c>
      <c r="C17" s="221">
        <v>35</v>
      </c>
      <c r="D17" s="254"/>
      <c r="E17" s="254">
        <v>736558</v>
      </c>
      <c r="F17" s="255"/>
      <c r="G17" s="254"/>
      <c r="H17" s="238">
        <f t="shared" si="6"/>
        <v>0</v>
      </c>
      <c r="I17" s="237">
        <f t="shared" si="23"/>
        <v>736558</v>
      </c>
      <c r="J17" s="255"/>
      <c r="K17" s="254"/>
      <c r="L17" s="237">
        <f t="shared" si="18"/>
        <v>0</v>
      </c>
      <c r="M17" s="237">
        <f t="shared" si="32"/>
        <v>736558</v>
      </c>
      <c r="N17" s="255"/>
      <c r="O17" s="254"/>
      <c r="P17" s="237">
        <f t="shared" si="19"/>
        <v>0</v>
      </c>
      <c r="Q17" s="237">
        <f t="shared" si="33"/>
        <v>736558</v>
      </c>
      <c r="R17" s="255"/>
      <c r="S17" s="254"/>
      <c r="T17" s="237">
        <f t="shared" si="20"/>
        <v>0</v>
      </c>
      <c r="U17" s="237">
        <f t="shared" si="34"/>
        <v>736558</v>
      </c>
      <c r="V17" s="255"/>
      <c r="W17" s="254"/>
      <c r="X17" s="237">
        <f t="shared" si="21"/>
        <v>0</v>
      </c>
      <c r="Y17" s="237">
        <f t="shared" si="35"/>
        <v>736558</v>
      </c>
      <c r="Z17" s="255"/>
      <c r="AA17" s="254"/>
      <c r="AB17" s="237">
        <f t="shared" si="22"/>
        <v>0</v>
      </c>
      <c r="AC17" s="237">
        <f t="shared" si="36"/>
        <v>736558</v>
      </c>
      <c r="AD17" s="255"/>
      <c r="AE17" s="254"/>
      <c r="AF17" s="239">
        <f t="shared" si="0"/>
        <v>0</v>
      </c>
      <c r="AG17" s="239">
        <f t="shared" si="12"/>
        <v>736558</v>
      </c>
      <c r="AH17" s="255"/>
      <c r="AI17" s="254"/>
      <c r="AJ17" s="239">
        <f t="shared" si="1"/>
        <v>0</v>
      </c>
      <c r="AK17" s="239">
        <f t="shared" si="13"/>
        <v>736558</v>
      </c>
      <c r="AL17" s="255"/>
      <c r="AM17" s="254"/>
      <c r="AN17" s="239">
        <f t="shared" si="24"/>
        <v>0</v>
      </c>
      <c r="AO17" s="239">
        <f t="shared" si="25"/>
        <v>736558</v>
      </c>
      <c r="AP17" s="255"/>
      <c r="AQ17" s="254"/>
      <c r="AR17" s="239">
        <f t="shared" si="26"/>
        <v>0</v>
      </c>
      <c r="AS17" s="239">
        <f t="shared" si="27"/>
        <v>736558</v>
      </c>
      <c r="AT17" s="255"/>
      <c r="AU17" s="254"/>
      <c r="AV17" s="239">
        <f t="shared" si="28"/>
        <v>0</v>
      </c>
      <c r="AW17" s="239">
        <f t="shared" si="29"/>
        <v>736558</v>
      </c>
      <c r="AX17" s="255"/>
      <c r="AY17" s="254"/>
      <c r="AZ17" s="239">
        <f t="shared" si="30"/>
        <v>0</v>
      </c>
      <c r="BA17" s="239">
        <f t="shared" si="31"/>
        <v>736558</v>
      </c>
      <c r="BB17" s="286"/>
    </row>
    <row r="18" spans="1:54" ht="20.100000000000001" customHeight="1" x14ac:dyDescent="0.55000000000000004">
      <c r="A18" s="246">
        <v>11</v>
      </c>
      <c r="B18" s="223" t="s">
        <v>135</v>
      </c>
      <c r="C18" s="221">
        <v>36</v>
      </c>
      <c r="D18" s="255">
        <v>18040</v>
      </c>
      <c r="E18" s="255"/>
      <c r="F18" s="252"/>
      <c r="G18" s="254"/>
      <c r="H18" s="238">
        <f t="shared" si="6"/>
        <v>18040</v>
      </c>
      <c r="I18" s="237">
        <f t="shared" si="23"/>
        <v>0</v>
      </c>
      <c r="J18" s="252"/>
      <c r="K18" s="254"/>
      <c r="L18" s="237">
        <f t="shared" si="18"/>
        <v>18040</v>
      </c>
      <c r="M18" s="237">
        <f t="shared" si="32"/>
        <v>0</v>
      </c>
      <c r="N18" s="252"/>
      <c r="O18" s="254"/>
      <c r="P18" s="237">
        <f t="shared" si="19"/>
        <v>18040</v>
      </c>
      <c r="Q18" s="237">
        <f t="shared" si="33"/>
        <v>0</v>
      </c>
      <c r="R18" s="252"/>
      <c r="S18" s="254"/>
      <c r="T18" s="237">
        <f t="shared" si="20"/>
        <v>18040</v>
      </c>
      <c r="U18" s="237">
        <f t="shared" si="34"/>
        <v>0</v>
      </c>
      <c r="V18" s="252"/>
      <c r="W18" s="254"/>
      <c r="X18" s="237">
        <f t="shared" si="21"/>
        <v>18040</v>
      </c>
      <c r="Y18" s="237">
        <f t="shared" si="35"/>
        <v>0</v>
      </c>
      <c r="Z18" s="252"/>
      <c r="AA18" s="254"/>
      <c r="AB18" s="237">
        <f t="shared" si="22"/>
        <v>18040</v>
      </c>
      <c r="AC18" s="237">
        <f t="shared" si="36"/>
        <v>0</v>
      </c>
      <c r="AD18" s="252"/>
      <c r="AE18" s="254"/>
      <c r="AF18" s="239">
        <f t="shared" si="0"/>
        <v>18040</v>
      </c>
      <c r="AG18" s="239">
        <f t="shared" si="12"/>
        <v>0</v>
      </c>
      <c r="AH18" s="252"/>
      <c r="AI18" s="254"/>
      <c r="AJ18" s="239">
        <f t="shared" si="1"/>
        <v>18040</v>
      </c>
      <c r="AK18" s="239">
        <f t="shared" si="13"/>
        <v>0</v>
      </c>
      <c r="AL18" s="252"/>
      <c r="AM18" s="254"/>
      <c r="AN18" s="239">
        <f t="shared" si="24"/>
        <v>18040</v>
      </c>
      <c r="AO18" s="239">
        <f t="shared" si="25"/>
        <v>0</v>
      </c>
      <c r="AP18" s="252"/>
      <c r="AQ18" s="254"/>
      <c r="AR18" s="239">
        <f t="shared" si="26"/>
        <v>18040</v>
      </c>
      <c r="AS18" s="239">
        <f t="shared" si="27"/>
        <v>0</v>
      </c>
      <c r="AT18" s="252"/>
      <c r="AU18" s="254"/>
      <c r="AV18" s="239">
        <f t="shared" si="28"/>
        <v>18040</v>
      </c>
      <c r="AW18" s="239">
        <f t="shared" si="29"/>
        <v>0</v>
      </c>
      <c r="AX18" s="252"/>
      <c r="AY18" s="254"/>
      <c r="AZ18" s="239">
        <f t="shared" si="30"/>
        <v>18040</v>
      </c>
      <c r="BA18" s="239">
        <f t="shared" si="31"/>
        <v>0</v>
      </c>
      <c r="BB18" s="286"/>
    </row>
    <row r="19" spans="1:54" ht="20.100000000000001" customHeight="1" x14ac:dyDescent="0.55000000000000004">
      <c r="A19" s="246">
        <v>12</v>
      </c>
      <c r="B19" s="223" t="s">
        <v>50</v>
      </c>
      <c r="C19" s="221">
        <v>37</v>
      </c>
      <c r="D19" s="254">
        <v>5387</v>
      </c>
      <c r="E19" s="254"/>
      <c r="F19" s="254"/>
      <c r="G19" s="254"/>
      <c r="H19" s="237">
        <f t="shared" si="6"/>
        <v>5387</v>
      </c>
      <c r="I19" s="237">
        <f t="shared" si="23"/>
        <v>0</v>
      </c>
      <c r="J19" s="254"/>
      <c r="K19" s="254"/>
      <c r="L19" s="237">
        <f t="shared" si="18"/>
        <v>5387</v>
      </c>
      <c r="M19" s="237">
        <f t="shared" si="32"/>
        <v>0</v>
      </c>
      <c r="N19" s="254"/>
      <c r="O19" s="254"/>
      <c r="P19" s="237">
        <f t="shared" si="19"/>
        <v>5387</v>
      </c>
      <c r="Q19" s="237">
        <f t="shared" si="33"/>
        <v>0</v>
      </c>
      <c r="R19" s="254"/>
      <c r="S19" s="254"/>
      <c r="T19" s="237">
        <f t="shared" si="20"/>
        <v>5387</v>
      </c>
      <c r="U19" s="237">
        <f t="shared" si="34"/>
        <v>0</v>
      </c>
      <c r="V19" s="254"/>
      <c r="W19" s="254"/>
      <c r="X19" s="237">
        <f t="shared" si="21"/>
        <v>5387</v>
      </c>
      <c r="Y19" s="237">
        <f t="shared" si="35"/>
        <v>0</v>
      </c>
      <c r="Z19" s="254"/>
      <c r="AA19" s="254"/>
      <c r="AB19" s="237">
        <f t="shared" si="22"/>
        <v>5387</v>
      </c>
      <c r="AC19" s="237">
        <f t="shared" si="36"/>
        <v>0</v>
      </c>
      <c r="AD19" s="254"/>
      <c r="AE19" s="254"/>
      <c r="AF19" s="239">
        <f t="shared" si="0"/>
        <v>5387</v>
      </c>
      <c r="AG19" s="239">
        <f t="shared" si="12"/>
        <v>0</v>
      </c>
      <c r="AH19" s="254"/>
      <c r="AI19" s="254"/>
      <c r="AJ19" s="239">
        <f t="shared" si="1"/>
        <v>5387</v>
      </c>
      <c r="AK19" s="239">
        <f t="shared" si="13"/>
        <v>0</v>
      </c>
      <c r="AL19" s="254"/>
      <c r="AM19" s="254"/>
      <c r="AN19" s="239">
        <f t="shared" si="24"/>
        <v>5387</v>
      </c>
      <c r="AO19" s="239">
        <f t="shared" si="25"/>
        <v>0</v>
      </c>
      <c r="AP19" s="254"/>
      <c r="AQ19" s="254"/>
      <c r="AR19" s="239">
        <f t="shared" si="26"/>
        <v>5387</v>
      </c>
      <c r="AS19" s="239">
        <f t="shared" si="27"/>
        <v>0</v>
      </c>
      <c r="AT19" s="254"/>
      <c r="AU19" s="254"/>
      <c r="AV19" s="239">
        <f t="shared" si="28"/>
        <v>5387</v>
      </c>
      <c r="AW19" s="239">
        <f t="shared" si="29"/>
        <v>0</v>
      </c>
      <c r="AX19" s="254"/>
      <c r="AY19" s="254"/>
      <c r="AZ19" s="239">
        <f t="shared" si="30"/>
        <v>5387</v>
      </c>
      <c r="BA19" s="239">
        <f t="shared" si="31"/>
        <v>0</v>
      </c>
      <c r="BB19" s="286"/>
    </row>
    <row r="20" spans="1:54" ht="20.100000000000001" customHeight="1" x14ac:dyDescent="0.55000000000000004">
      <c r="A20" s="246">
        <v>13</v>
      </c>
      <c r="B20" s="228" t="s">
        <v>280</v>
      </c>
      <c r="C20" s="221">
        <v>38</v>
      </c>
      <c r="D20" s="254"/>
      <c r="E20" s="254">
        <v>5387</v>
      </c>
      <c r="F20" s="254"/>
      <c r="G20" s="255"/>
      <c r="H20" s="244">
        <f t="shared" si="6"/>
        <v>0</v>
      </c>
      <c r="I20" s="237">
        <f t="shared" si="23"/>
        <v>5387</v>
      </c>
      <c r="J20" s="254"/>
      <c r="K20" s="255"/>
      <c r="L20" s="237"/>
      <c r="M20" s="237">
        <f t="shared" si="32"/>
        <v>5387</v>
      </c>
      <c r="N20" s="254"/>
      <c r="O20" s="255"/>
      <c r="P20" s="237"/>
      <c r="Q20" s="237">
        <f t="shared" si="33"/>
        <v>5387</v>
      </c>
      <c r="R20" s="254"/>
      <c r="S20" s="255"/>
      <c r="T20" s="237"/>
      <c r="U20" s="237">
        <f t="shared" si="34"/>
        <v>5387</v>
      </c>
      <c r="V20" s="254"/>
      <c r="W20" s="255"/>
      <c r="X20" s="237"/>
      <c r="Y20" s="237">
        <f t="shared" si="35"/>
        <v>5387</v>
      </c>
      <c r="Z20" s="254"/>
      <c r="AA20" s="255"/>
      <c r="AB20" s="237"/>
      <c r="AC20" s="237">
        <f t="shared" si="36"/>
        <v>5387</v>
      </c>
      <c r="AD20" s="254"/>
      <c r="AE20" s="255"/>
      <c r="AF20" s="239">
        <f t="shared" si="0"/>
        <v>0</v>
      </c>
      <c r="AG20" s="239">
        <f t="shared" si="12"/>
        <v>5387</v>
      </c>
      <c r="AH20" s="254"/>
      <c r="AI20" s="255"/>
      <c r="AJ20" s="239">
        <f t="shared" si="1"/>
        <v>0</v>
      </c>
      <c r="AK20" s="239">
        <f t="shared" si="13"/>
        <v>5387</v>
      </c>
      <c r="AL20" s="254"/>
      <c r="AM20" s="255"/>
      <c r="AN20" s="239">
        <f t="shared" si="24"/>
        <v>0</v>
      </c>
      <c r="AO20" s="239">
        <f t="shared" si="25"/>
        <v>5387</v>
      </c>
      <c r="AP20" s="254"/>
      <c r="AQ20" s="255"/>
      <c r="AR20" s="239">
        <f t="shared" si="26"/>
        <v>0</v>
      </c>
      <c r="AS20" s="239">
        <f t="shared" si="27"/>
        <v>5387</v>
      </c>
      <c r="AT20" s="254"/>
      <c r="AU20" s="255"/>
      <c r="AV20" s="239">
        <f t="shared" si="28"/>
        <v>0</v>
      </c>
      <c r="AW20" s="239">
        <f t="shared" si="29"/>
        <v>5387</v>
      </c>
      <c r="AX20" s="254"/>
      <c r="AY20" s="255"/>
      <c r="AZ20" s="239">
        <f t="shared" si="30"/>
        <v>0</v>
      </c>
      <c r="BA20" s="239">
        <f t="shared" si="31"/>
        <v>5387</v>
      </c>
      <c r="BB20" s="286"/>
    </row>
    <row r="21" spans="1:54" ht="20.100000000000001" customHeight="1" x14ac:dyDescent="0.55000000000000004">
      <c r="A21" s="246">
        <v>14</v>
      </c>
      <c r="B21" s="223" t="s">
        <v>250</v>
      </c>
      <c r="C21" s="221">
        <v>40</v>
      </c>
      <c r="D21" s="254">
        <v>300</v>
      </c>
      <c r="E21" s="254"/>
      <c r="F21" s="254"/>
      <c r="G21" s="252"/>
      <c r="H21" s="237">
        <f t="shared" si="6"/>
        <v>300</v>
      </c>
      <c r="I21" s="237">
        <f t="shared" si="23"/>
        <v>0</v>
      </c>
      <c r="J21" s="254"/>
      <c r="K21" s="252"/>
      <c r="L21" s="237">
        <f t="shared" si="18"/>
        <v>300</v>
      </c>
      <c r="M21" s="237">
        <f t="shared" si="32"/>
        <v>0</v>
      </c>
      <c r="N21" s="254"/>
      <c r="O21" s="252"/>
      <c r="P21" s="237">
        <f t="shared" si="19"/>
        <v>300</v>
      </c>
      <c r="Q21" s="237">
        <f t="shared" si="33"/>
        <v>0</v>
      </c>
      <c r="R21" s="254"/>
      <c r="S21" s="252"/>
      <c r="T21" s="237">
        <f t="shared" ref="T21:T24" si="37">SUM(P21+R21-S21)</f>
        <v>300</v>
      </c>
      <c r="U21" s="237">
        <f t="shared" si="34"/>
        <v>0</v>
      </c>
      <c r="V21" s="254"/>
      <c r="W21" s="252"/>
      <c r="X21" s="237">
        <f t="shared" ref="X21:X24" si="38">SUM(T21+V21-W21)</f>
        <v>300</v>
      </c>
      <c r="Y21" s="237">
        <f t="shared" si="35"/>
        <v>0</v>
      </c>
      <c r="Z21" s="254"/>
      <c r="AA21" s="252"/>
      <c r="AB21" s="237">
        <f t="shared" ref="AB21:AB24" si="39">SUM(X21+Z21-AA21)</f>
        <v>300</v>
      </c>
      <c r="AC21" s="237">
        <f t="shared" si="36"/>
        <v>0</v>
      </c>
      <c r="AD21" s="254"/>
      <c r="AE21" s="252"/>
      <c r="AF21" s="239">
        <f t="shared" si="0"/>
        <v>300</v>
      </c>
      <c r="AG21" s="239">
        <f t="shared" si="12"/>
        <v>0</v>
      </c>
      <c r="AH21" s="254"/>
      <c r="AI21" s="252"/>
      <c r="AJ21" s="239">
        <f t="shared" si="1"/>
        <v>300</v>
      </c>
      <c r="AK21" s="239">
        <f t="shared" si="13"/>
        <v>0</v>
      </c>
      <c r="AL21" s="254"/>
      <c r="AM21" s="252"/>
      <c r="AN21" s="239">
        <f t="shared" si="24"/>
        <v>300</v>
      </c>
      <c r="AO21" s="239">
        <f t="shared" si="25"/>
        <v>0</v>
      </c>
      <c r="AP21" s="254"/>
      <c r="AQ21" s="252"/>
      <c r="AR21" s="239">
        <f t="shared" si="26"/>
        <v>300</v>
      </c>
      <c r="AS21" s="239">
        <f t="shared" si="27"/>
        <v>0</v>
      </c>
      <c r="AT21" s="254"/>
      <c r="AU21" s="252"/>
      <c r="AV21" s="239">
        <f t="shared" si="28"/>
        <v>300</v>
      </c>
      <c r="AW21" s="239">
        <f t="shared" si="29"/>
        <v>0</v>
      </c>
      <c r="AX21" s="254"/>
      <c r="AY21" s="252"/>
      <c r="AZ21" s="239">
        <f t="shared" si="30"/>
        <v>300</v>
      </c>
      <c r="BA21" s="239">
        <f t="shared" si="31"/>
        <v>0</v>
      </c>
      <c r="BB21" s="286"/>
    </row>
    <row r="22" spans="1:54" ht="20.100000000000001" customHeight="1" x14ac:dyDescent="0.55000000000000004">
      <c r="A22" s="246">
        <v>15</v>
      </c>
      <c r="B22" s="223" t="s">
        <v>21</v>
      </c>
      <c r="C22" s="221">
        <v>41</v>
      </c>
      <c r="D22" s="254">
        <v>79833</v>
      </c>
      <c r="E22" s="254"/>
      <c r="F22" s="255"/>
      <c r="G22" s="252"/>
      <c r="H22" s="244">
        <f t="shared" si="6"/>
        <v>79833</v>
      </c>
      <c r="I22" s="237">
        <f t="shared" si="23"/>
        <v>0</v>
      </c>
      <c r="J22" s="255"/>
      <c r="K22" s="252"/>
      <c r="L22" s="237">
        <f t="shared" si="18"/>
        <v>79833</v>
      </c>
      <c r="M22" s="237">
        <f t="shared" si="32"/>
        <v>0</v>
      </c>
      <c r="N22" s="255"/>
      <c r="O22" s="252"/>
      <c r="P22" s="237">
        <f t="shared" si="19"/>
        <v>79833</v>
      </c>
      <c r="Q22" s="237">
        <f t="shared" si="33"/>
        <v>0</v>
      </c>
      <c r="R22" s="255"/>
      <c r="S22" s="252"/>
      <c r="T22" s="237">
        <f t="shared" si="37"/>
        <v>79833</v>
      </c>
      <c r="U22" s="237">
        <f t="shared" si="34"/>
        <v>0</v>
      </c>
      <c r="V22" s="255"/>
      <c r="W22" s="252"/>
      <c r="X22" s="237">
        <f t="shared" si="38"/>
        <v>79833</v>
      </c>
      <c r="Y22" s="237">
        <f t="shared" si="35"/>
        <v>0</v>
      </c>
      <c r="Z22" s="255"/>
      <c r="AA22" s="252"/>
      <c r="AB22" s="237">
        <f t="shared" si="39"/>
        <v>79833</v>
      </c>
      <c r="AC22" s="237">
        <f t="shared" si="36"/>
        <v>0</v>
      </c>
      <c r="AD22" s="255"/>
      <c r="AE22" s="252"/>
      <c r="AF22" s="239">
        <f t="shared" si="0"/>
        <v>79833</v>
      </c>
      <c r="AG22" s="239">
        <f t="shared" si="12"/>
        <v>0</v>
      </c>
      <c r="AH22" s="255"/>
      <c r="AI22" s="252"/>
      <c r="AJ22" s="239">
        <f t="shared" si="1"/>
        <v>79833</v>
      </c>
      <c r="AK22" s="239">
        <f t="shared" si="13"/>
        <v>0</v>
      </c>
      <c r="AL22" s="255"/>
      <c r="AM22" s="252"/>
      <c r="AN22" s="239">
        <f t="shared" si="24"/>
        <v>79833</v>
      </c>
      <c r="AO22" s="239">
        <f t="shared" si="25"/>
        <v>0</v>
      </c>
      <c r="AP22" s="255"/>
      <c r="AQ22" s="252"/>
      <c r="AR22" s="239">
        <f t="shared" si="26"/>
        <v>79833</v>
      </c>
      <c r="AS22" s="239">
        <f t="shared" si="27"/>
        <v>0</v>
      </c>
      <c r="AT22" s="255"/>
      <c r="AU22" s="252"/>
      <c r="AV22" s="239">
        <f t="shared" si="28"/>
        <v>79833</v>
      </c>
      <c r="AW22" s="239">
        <f t="shared" si="29"/>
        <v>0</v>
      </c>
      <c r="AX22" s="255"/>
      <c r="AY22" s="252"/>
      <c r="AZ22" s="239">
        <f t="shared" si="30"/>
        <v>79833</v>
      </c>
      <c r="BA22" s="239">
        <f t="shared" si="31"/>
        <v>0</v>
      </c>
      <c r="BB22" s="286"/>
    </row>
    <row r="23" spans="1:54" ht="20.100000000000001" customHeight="1" x14ac:dyDescent="0.55000000000000004">
      <c r="A23" s="246">
        <v>16</v>
      </c>
      <c r="B23" s="220" t="s">
        <v>239</v>
      </c>
      <c r="C23" s="221">
        <v>42</v>
      </c>
      <c r="D23" s="254"/>
      <c r="E23" s="254">
        <v>79719.350000000006</v>
      </c>
      <c r="F23" s="252"/>
      <c r="G23" s="252"/>
      <c r="H23" s="237">
        <f t="shared" si="6"/>
        <v>0</v>
      </c>
      <c r="I23" s="237">
        <f t="shared" si="23"/>
        <v>79719.350000000006</v>
      </c>
      <c r="J23" s="252"/>
      <c r="K23" s="252"/>
      <c r="L23" s="237">
        <f t="shared" si="18"/>
        <v>0</v>
      </c>
      <c r="M23" s="237">
        <f t="shared" si="32"/>
        <v>79719.350000000006</v>
      </c>
      <c r="N23" s="252"/>
      <c r="O23" s="252"/>
      <c r="P23" s="237">
        <f t="shared" si="19"/>
        <v>0</v>
      </c>
      <c r="Q23" s="237">
        <f t="shared" si="33"/>
        <v>79719.350000000006</v>
      </c>
      <c r="R23" s="252"/>
      <c r="S23" s="252"/>
      <c r="T23" s="237">
        <f t="shared" si="37"/>
        <v>0</v>
      </c>
      <c r="U23" s="237">
        <f t="shared" si="34"/>
        <v>79719.350000000006</v>
      </c>
      <c r="V23" s="252"/>
      <c r="W23" s="252"/>
      <c r="X23" s="237">
        <f t="shared" si="38"/>
        <v>0</v>
      </c>
      <c r="Y23" s="237">
        <f t="shared" si="35"/>
        <v>79719.350000000006</v>
      </c>
      <c r="Z23" s="252"/>
      <c r="AA23" s="252"/>
      <c r="AB23" s="237">
        <f t="shared" si="39"/>
        <v>0</v>
      </c>
      <c r="AC23" s="237">
        <f t="shared" si="36"/>
        <v>79719.350000000006</v>
      </c>
      <c r="AD23" s="252"/>
      <c r="AE23" s="252"/>
      <c r="AF23" s="239">
        <f t="shared" si="0"/>
        <v>0</v>
      </c>
      <c r="AG23" s="239">
        <f t="shared" si="12"/>
        <v>79719.350000000006</v>
      </c>
      <c r="AH23" s="252"/>
      <c r="AI23" s="252"/>
      <c r="AJ23" s="239">
        <f t="shared" si="1"/>
        <v>0</v>
      </c>
      <c r="AK23" s="239">
        <f t="shared" si="13"/>
        <v>79719.350000000006</v>
      </c>
      <c r="AL23" s="252"/>
      <c r="AM23" s="252"/>
      <c r="AN23" s="239">
        <f t="shared" si="24"/>
        <v>0</v>
      </c>
      <c r="AO23" s="239">
        <f t="shared" si="25"/>
        <v>79719.350000000006</v>
      </c>
      <c r="AP23" s="252"/>
      <c r="AQ23" s="252"/>
      <c r="AR23" s="239">
        <f t="shared" si="26"/>
        <v>0</v>
      </c>
      <c r="AS23" s="239">
        <f t="shared" si="27"/>
        <v>79719.350000000006</v>
      </c>
      <c r="AT23" s="252"/>
      <c r="AU23" s="252"/>
      <c r="AV23" s="239">
        <f t="shared" si="28"/>
        <v>0</v>
      </c>
      <c r="AW23" s="239">
        <f t="shared" si="29"/>
        <v>79719.350000000006</v>
      </c>
      <c r="AX23" s="252"/>
      <c r="AY23" s="252"/>
      <c r="AZ23" s="239">
        <f t="shared" si="30"/>
        <v>0</v>
      </c>
      <c r="BA23" s="239">
        <f t="shared" si="31"/>
        <v>79719.350000000006</v>
      </c>
      <c r="BB23" s="286"/>
    </row>
    <row r="24" spans="1:54" ht="20.100000000000001" customHeight="1" x14ac:dyDescent="0.55000000000000004">
      <c r="A24" s="246">
        <v>17</v>
      </c>
      <c r="B24" s="223" t="s">
        <v>231</v>
      </c>
      <c r="C24" s="221" t="s">
        <v>286</v>
      </c>
      <c r="D24" s="254">
        <v>4983077.03</v>
      </c>
      <c r="E24" s="254"/>
      <c r="F24" s="254"/>
      <c r="G24" s="252"/>
      <c r="H24" s="237">
        <f t="shared" si="6"/>
        <v>4983077.03</v>
      </c>
      <c r="I24" s="237">
        <f t="shared" si="23"/>
        <v>0</v>
      </c>
      <c r="J24" s="254"/>
      <c r="K24" s="252"/>
      <c r="L24" s="238">
        <f t="shared" si="18"/>
        <v>4983077.03</v>
      </c>
      <c r="M24" s="238"/>
      <c r="N24" s="254"/>
      <c r="O24" s="252"/>
      <c r="P24" s="238">
        <f t="shared" si="19"/>
        <v>4983077.03</v>
      </c>
      <c r="Q24" s="238"/>
      <c r="R24" s="254"/>
      <c r="S24" s="252"/>
      <c r="T24" s="238">
        <f t="shared" si="37"/>
        <v>4983077.03</v>
      </c>
      <c r="U24" s="238"/>
      <c r="V24" s="254"/>
      <c r="W24" s="252">
        <v>3000</v>
      </c>
      <c r="X24" s="238">
        <f t="shared" si="38"/>
        <v>4980077.03</v>
      </c>
      <c r="Y24" s="238"/>
      <c r="Z24" s="254"/>
      <c r="AA24" s="252"/>
      <c r="AB24" s="238">
        <f t="shared" si="39"/>
        <v>4980077.03</v>
      </c>
      <c r="AC24" s="238"/>
      <c r="AD24" s="254"/>
      <c r="AE24" s="252"/>
      <c r="AF24" s="239">
        <f t="shared" si="0"/>
        <v>4980077.03</v>
      </c>
      <c r="AG24" s="239"/>
      <c r="AH24" s="254"/>
      <c r="AI24" s="252"/>
      <c r="AJ24" s="239">
        <f t="shared" si="1"/>
        <v>4980077.03</v>
      </c>
      <c r="AK24" s="239"/>
      <c r="AL24" s="254"/>
      <c r="AM24" s="252"/>
      <c r="AN24" s="239">
        <f t="shared" si="24"/>
        <v>4980077.03</v>
      </c>
      <c r="AO24" s="239"/>
      <c r="AP24" s="254"/>
      <c r="AQ24" s="252"/>
      <c r="AR24" s="239">
        <f t="shared" si="26"/>
        <v>4980077.03</v>
      </c>
      <c r="AS24" s="239"/>
      <c r="AT24" s="254"/>
      <c r="AU24" s="252"/>
      <c r="AV24" s="239">
        <f t="shared" si="28"/>
        <v>4980077.03</v>
      </c>
      <c r="AW24" s="239"/>
      <c r="AX24" s="254"/>
      <c r="AY24" s="252"/>
      <c r="AZ24" s="239">
        <f t="shared" si="30"/>
        <v>4980077.03</v>
      </c>
      <c r="BA24" s="239"/>
      <c r="BB24" s="286"/>
    </row>
    <row r="25" spans="1:54" ht="20.100000000000001" customHeight="1" x14ac:dyDescent="0.55000000000000004">
      <c r="A25" s="246">
        <v>18</v>
      </c>
      <c r="B25" s="220" t="s">
        <v>232</v>
      </c>
      <c r="C25" s="221" t="s">
        <v>287</v>
      </c>
      <c r="D25" s="254">
        <v>162000</v>
      </c>
      <c r="E25" s="254"/>
      <c r="F25" s="255"/>
      <c r="G25" s="254"/>
      <c r="H25" s="237">
        <f t="shared" si="6"/>
        <v>162000</v>
      </c>
      <c r="I25" s="237">
        <f t="shared" si="23"/>
        <v>0</v>
      </c>
      <c r="J25" s="255"/>
      <c r="K25" s="254"/>
      <c r="L25" s="237">
        <f>SUM(H25+J25-K25)</f>
        <v>162000</v>
      </c>
      <c r="M25" s="237"/>
      <c r="N25" s="255"/>
      <c r="O25" s="254"/>
      <c r="P25" s="237">
        <f>SUM(L25+N25-O25)</f>
        <v>162000</v>
      </c>
      <c r="Q25" s="237"/>
      <c r="R25" s="255"/>
      <c r="S25" s="254"/>
      <c r="T25" s="237">
        <f>SUM(P25+R25-S25)</f>
        <v>162000</v>
      </c>
      <c r="U25" s="237"/>
      <c r="V25" s="255"/>
      <c r="W25" s="254">
        <v>1000</v>
      </c>
      <c r="X25" s="237">
        <f>SUM(T25+V25-W25)</f>
        <v>161000</v>
      </c>
      <c r="Y25" s="237"/>
      <c r="Z25" s="255"/>
      <c r="AA25" s="254">
        <v>2000</v>
      </c>
      <c r="AB25" s="237">
        <f>SUM(X25+Z25-AA25)</f>
        <v>159000</v>
      </c>
      <c r="AC25" s="237"/>
      <c r="AD25" s="255"/>
      <c r="AE25" s="254">
        <v>2000</v>
      </c>
      <c r="AF25" s="239">
        <f t="shared" si="0"/>
        <v>157000</v>
      </c>
      <c r="AG25" s="239"/>
      <c r="AH25" s="255"/>
      <c r="AI25" s="254">
        <v>1000</v>
      </c>
      <c r="AJ25" s="239">
        <f t="shared" si="1"/>
        <v>156000</v>
      </c>
      <c r="AK25" s="239"/>
      <c r="AL25" s="255"/>
      <c r="AM25" s="254"/>
      <c r="AN25" s="239">
        <f t="shared" si="24"/>
        <v>156000</v>
      </c>
      <c r="AO25" s="239"/>
      <c r="AP25" s="255"/>
      <c r="AQ25" s="254"/>
      <c r="AR25" s="239">
        <f t="shared" si="26"/>
        <v>156000</v>
      </c>
      <c r="AS25" s="239"/>
      <c r="AT25" s="255"/>
      <c r="AU25" s="254"/>
      <c r="AV25" s="239">
        <f t="shared" si="28"/>
        <v>156000</v>
      </c>
      <c r="AW25" s="239"/>
      <c r="AX25" s="255"/>
      <c r="AY25" s="254"/>
      <c r="AZ25" s="239">
        <f t="shared" si="30"/>
        <v>156000</v>
      </c>
      <c r="BA25" s="239"/>
      <c r="BB25" s="286"/>
    </row>
    <row r="26" spans="1:54" ht="20.100000000000001" customHeight="1" x14ac:dyDescent="0.55000000000000004">
      <c r="A26" s="246">
        <v>19</v>
      </c>
      <c r="B26" s="222" t="s">
        <v>233</v>
      </c>
      <c r="C26" s="221" t="s">
        <v>288</v>
      </c>
      <c r="D26" s="254">
        <v>333621.40000000002</v>
      </c>
      <c r="E26" s="254"/>
      <c r="F26" s="252"/>
      <c r="G26" s="252"/>
      <c r="H26" s="237">
        <f t="shared" si="6"/>
        <v>333621.40000000002</v>
      </c>
      <c r="I26" s="237">
        <f t="shared" si="23"/>
        <v>0</v>
      </c>
      <c r="J26" s="252"/>
      <c r="K26" s="252"/>
      <c r="L26" s="237">
        <f>SUM(H26+J26-K26)</f>
        <v>333621.40000000002</v>
      </c>
      <c r="M26" s="237">
        <f>SUM(I26+J26-K26)</f>
        <v>0</v>
      </c>
      <c r="N26" s="252"/>
      <c r="O26" s="252"/>
      <c r="P26" s="237">
        <f>SUM(L26+N26-O26)</f>
        <v>333621.40000000002</v>
      </c>
      <c r="Q26" s="237">
        <f>SUM(M26+N26-O26)</f>
        <v>0</v>
      </c>
      <c r="R26" s="252"/>
      <c r="S26" s="252"/>
      <c r="T26" s="237">
        <f>SUM(P26+R26-S26)</f>
        <v>333621.40000000002</v>
      </c>
      <c r="U26" s="237">
        <f>SUM(Q26+R26-S26)</f>
        <v>0</v>
      </c>
      <c r="V26" s="252"/>
      <c r="W26" s="252">
        <v>1000</v>
      </c>
      <c r="X26" s="237">
        <f>SUM(T26+V26-W26)</f>
        <v>332621.40000000002</v>
      </c>
      <c r="Y26" s="237"/>
      <c r="Z26" s="252"/>
      <c r="AA26" s="252"/>
      <c r="AB26" s="237">
        <f>SUM(X26+Z26-AA26)</f>
        <v>332621.40000000002</v>
      </c>
      <c r="AC26" s="237"/>
      <c r="AD26" s="252"/>
      <c r="AE26" s="252"/>
      <c r="AF26" s="239">
        <f t="shared" si="0"/>
        <v>332621.40000000002</v>
      </c>
      <c r="AG26" s="239">
        <f>SUM(AC26+AE26-AD26)</f>
        <v>0</v>
      </c>
      <c r="AH26" s="252"/>
      <c r="AI26" s="252"/>
      <c r="AJ26" s="239">
        <f t="shared" si="1"/>
        <v>332621.40000000002</v>
      </c>
      <c r="AK26" s="239">
        <f>SUM(AG26+AI26-AH26)</f>
        <v>0</v>
      </c>
      <c r="AL26" s="252"/>
      <c r="AM26" s="252"/>
      <c r="AN26" s="239">
        <f t="shared" si="24"/>
        <v>332621.40000000002</v>
      </c>
      <c r="AO26" s="239">
        <f>SUM(AK26+AM26-AL26)</f>
        <v>0</v>
      </c>
      <c r="AP26" s="252"/>
      <c r="AQ26" s="252"/>
      <c r="AR26" s="239">
        <f t="shared" si="26"/>
        <v>332621.40000000002</v>
      </c>
      <c r="AS26" s="239">
        <f>SUM(AO26+AQ26-AP26)</f>
        <v>0</v>
      </c>
      <c r="AT26" s="252"/>
      <c r="AU26" s="252"/>
      <c r="AV26" s="239">
        <f t="shared" si="28"/>
        <v>332621.40000000002</v>
      </c>
      <c r="AW26" s="239">
        <f>SUM(AS26+AU26-AT26)</f>
        <v>0</v>
      </c>
      <c r="AX26" s="252"/>
      <c r="AY26" s="252"/>
      <c r="AZ26" s="239">
        <f t="shared" si="30"/>
        <v>332621.40000000002</v>
      </c>
      <c r="BA26" s="239">
        <f>SUM(AW26+AY26-AX26)</f>
        <v>0</v>
      </c>
      <c r="BB26" s="286"/>
    </row>
    <row r="27" spans="1:54" ht="20.100000000000001" customHeight="1" x14ac:dyDescent="0.55000000000000004">
      <c r="A27" s="246">
        <v>20</v>
      </c>
      <c r="B27" s="223" t="s">
        <v>136</v>
      </c>
      <c r="C27" s="221">
        <v>54</v>
      </c>
      <c r="D27" s="254">
        <v>205000</v>
      </c>
      <c r="E27" s="254"/>
      <c r="F27" s="254"/>
      <c r="G27" s="254"/>
      <c r="H27" s="237">
        <f t="shared" si="6"/>
        <v>205000</v>
      </c>
      <c r="I27" s="237">
        <f t="shared" si="23"/>
        <v>0</v>
      </c>
      <c r="J27" s="254"/>
      <c r="K27" s="254"/>
      <c r="L27" s="237">
        <f>SUM(H27-K27+J27)</f>
        <v>205000</v>
      </c>
      <c r="M27" s="237">
        <v>0</v>
      </c>
      <c r="N27" s="254"/>
      <c r="O27" s="254"/>
      <c r="P27" s="237">
        <f>SUM(L27-O27+N27)</f>
        <v>205000</v>
      </c>
      <c r="Q27" s="237">
        <v>0</v>
      </c>
      <c r="R27" s="254"/>
      <c r="S27" s="254"/>
      <c r="T27" s="237">
        <f>SUM(P27-S27+R27)</f>
        <v>205000</v>
      </c>
      <c r="U27" s="237">
        <v>0</v>
      </c>
      <c r="V27" s="254"/>
      <c r="W27" s="254"/>
      <c r="X27" s="237">
        <f>SUM(T27-W27+V27)</f>
        <v>205000</v>
      </c>
      <c r="Y27" s="237">
        <v>0</v>
      </c>
      <c r="Z27" s="254"/>
      <c r="AA27" s="254"/>
      <c r="AB27" s="237">
        <f>SUM(X27-AA27+Z27)</f>
        <v>205000</v>
      </c>
      <c r="AC27" s="237">
        <v>0</v>
      </c>
      <c r="AD27" s="254"/>
      <c r="AE27" s="254"/>
      <c r="AF27" s="239">
        <f t="shared" si="0"/>
        <v>205000</v>
      </c>
      <c r="AG27" s="239">
        <f>SUM(AC27+AE27-AD27)</f>
        <v>0</v>
      </c>
      <c r="AH27" s="254"/>
      <c r="AI27" s="254"/>
      <c r="AJ27" s="239">
        <f t="shared" si="1"/>
        <v>205000</v>
      </c>
      <c r="AK27" s="239">
        <f>SUM(AG27+AI27-AH27)</f>
        <v>0</v>
      </c>
      <c r="AL27" s="254"/>
      <c r="AM27" s="254"/>
      <c r="AN27" s="239">
        <f t="shared" si="24"/>
        <v>205000</v>
      </c>
      <c r="AO27" s="239">
        <f>SUM(AK27+AM27-AL27)</f>
        <v>0</v>
      </c>
      <c r="AP27" s="254"/>
      <c r="AQ27" s="254"/>
      <c r="AR27" s="239">
        <f t="shared" si="26"/>
        <v>205000</v>
      </c>
      <c r="AS27" s="239">
        <f>SUM(AO27+AQ27-AP27)</f>
        <v>0</v>
      </c>
      <c r="AT27" s="254"/>
      <c r="AU27" s="254"/>
      <c r="AV27" s="239">
        <f t="shared" si="28"/>
        <v>205000</v>
      </c>
      <c r="AW27" s="239">
        <f>SUM(AS27+AU27-AT27)</f>
        <v>0</v>
      </c>
      <c r="AX27" s="254"/>
      <c r="AY27" s="254"/>
      <c r="AZ27" s="239">
        <f t="shared" si="30"/>
        <v>205000</v>
      </c>
      <c r="BA27" s="239">
        <f>SUM(AW27+AY27-AX27)</f>
        <v>0</v>
      </c>
      <c r="BB27" s="286"/>
    </row>
    <row r="28" spans="1:54" ht="20.100000000000001" customHeight="1" x14ac:dyDescent="0.55000000000000004">
      <c r="A28" s="246">
        <v>21</v>
      </c>
      <c r="B28" s="224" t="s">
        <v>54</v>
      </c>
      <c r="C28" s="221">
        <v>55</v>
      </c>
      <c r="D28" s="253"/>
      <c r="E28" s="253">
        <v>3854698.43</v>
      </c>
      <c r="F28" s="254"/>
      <c r="G28" s="253"/>
      <c r="H28" s="240">
        <f t="shared" si="6"/>
        <v>0</v>
      </c>
      <c r="I28" s="237">
        <f t="shared" si="23"/>
        <v>3854698.43</v>
      </c>
      <c r="J28" s="254"/>
      <c r="K28" s="253"/>
      <c r="L28" s="237">
        <f>SUM(H28-K28+J28)</f>
        <v>0</v>
      </c>
      <c r="M28" s="237">
        <f>SUM(I28+J28-K28)</f>
        <v>3854698.43</v>
      </c>
      <c r="N28" s="254"/>
      <c r="O28" s="253"/>
      <c r="P28" s="237">
        <f>SUM(L28-O28+N28)</f>
        <v>0</v>
      </c>
      <c r="Q28" s="237">
        <f>SUM(M28+N28-O28)</f>
        <v>3854698.43</v>
      </c>
      <c r="R28" s="254"/>
      <c r="S28" s="253"/>
      <c r="T28" s="237">
        <f>SUM(P28-S28+R28)</f>
        <v>0</v>
      </c>
      <c r="U28" s="237">
        <f>SUM(Q28+R28-S28)</f>
        <v>3854698.43</v>
      </c>
      <c r="V28" s="254"/>
      <c r="W28" s="253"/>
      <c r="X28" s="237">
        <f>SUM(T28-W28+V28)</f>
        <v>0</v>
      </c>
      <c r="Y28" s="237">
        <f>SUM(U28+V28-W28)</f>
        <v>3854698.43</v>
      </c>
      <c r="Z28" s="254"/>
      <c r="AA28" s="253"/>
      <c r="AB28" s="237">
        <f>SUM(X28-AA28+Z28)</f>
        <v>0</v>
      </c>
      <c r="AC28" s="237">
        <f>SUM(Y28+Z28-AA28)</f>
        <v>3854698.43</v>
      </c>
      <c r="AD28" s="254"/>
      <c r="AE28" s="253"/>
      <c r="AF28" s="239">
        <f t="shared" si="0"/>
        <v>0</v>
      </c>
      <c r="AG28" s="239">
        <f>SUM(AC28+AE28-AD28)</f>
        <v>3854698.43</v>
      </c>
      <c r="AH28" s="254"/>
      <c r="AI28" s="253"/>
      <c r="AJ28" s="239">
        <f t="shared" si="1"/>
        <v>0</v>
      </c>
      <c r="AK28" s="239">
        <f>SUM(AG28+AI28-AH28)</f>
        <v>3854698.43</v>
      </c>
      <c r="AL28" s="254"/>
      <c r="AM28" s="253"/>
      <c r="AN28" s="239">
        <f t="shared" si="24"/>
        <v>0</v>
      </c>
      <c r="AO28" s="239">
        <f>SUM(AK28+AM28-AL28)</f>
        <v>3854698.43</v>
      </c>
      <c r="AP28" s="254"/>
      <c r="AQ28" s="253"/>
      <c r="AR28" s="239">
        <f t="shared" si="26"/>
        <v>0</v>
      </c>
      <c r="AS28" s="239">
        <f>SUM(AO28+AQ28-AP28)</f>
        <v>3854698.43</v>
      </c>
      <c r="AT28" s="254"/>
      <c r="AU28" s="253"/>
      <c r="AV28" s="239">
        <f t="shared" si="28"/>
        <v>0</v>
      </c>
      <c r="AW28" s="239">
        <f>SUM(AS28+AU28-AT28)</f>
        <v>3854698.43</v>
      </c>
      <c r="AX28" s="254"/>
      <c r="AY28" s="253"/>
      <c r="AZ28" s="239">
        <f t="shared" si="30"/>
        <v>0</v>
      </c>
      <c r="BA28" s="239">
        <f>SUM(AW28+AY28-AX28)</f>
        <v>3854698.43</v>
      </c>
      <c r="BB28" s="286"/>
    </row>
    <row r="29" spans="1:54" ht="20.100000000000001" customHeight="1" x14ac:dyDescent="0.55000000000000004">
      <c r="A29" s="246">
        <v>22</v>
      </c>
      <c r="B29" s="223" t="s">
        <v>2</v>
      </c>
      <c r="C29" s="221" t="s">
        <v>289</v>
      </c>
      <c r="D29" s="254">
        <v>2828265.12</v>
      </c>
      <c r="E29" s="254"/>
      <c r="F29" s="253"/>
      <c r="G29" s="255"/>
      <c r="H29" s="272">
        <f t="shared" si="6"/>
        <v>2828265.12</v>
      </c>
      <c r="I29" s="237"/>
      <c r="J29" s="253"/>
      <c r="K29" s="255"/>
      <c r="L29" s="237">
        <f t="shared" ref="L29:L30" si="40">SUM(H29+J29-K29)</f>
        <v>2828265.12</v>
      </c>
      <c r="M29" s="237"/>
      <c r="N29" s="253"/>
      <c r="O29" s="255">
        <v>4500</v>
      </c>
      <c r="P29" s="237">
        <f>SUM(L29+N29-O29)</f>
        <v>2823765.12</v>
      </c>
      <c r="Q29" s="237"/>
      <c r="R29" s="253"/>
      <c r="S29" s="255">
        <v>3000</v>
      </c>
      <c r="T29" s="237">
        <f t="shared" ref="T29:T30" si="41">SUM(P29+R29-S29)</f>
        <v>2820765.12</v>
      </c>
      <c r="U29" s="237"/>
      <c r="V29" s="253"/>
      <c r="W29" s="255">
        <v>5519.41</v>
      </c>
      <c r="X29" s="237">
        <f t="shared" ref="X29:X30" si="42">SUM(T29+V29-W29)</f>
        <v>2815245.71</v>
      </c>
      <c r="Y29" s="237"/>
      <c r="Z29" s="253"/>
      <c r="AA29" s="255">
        <v>6137.81</v>
      </c>
      <c r="AB29" s="237">
        <f t="shared" ref="AB29:AB30" si="43">SUM(X29+Z29-AA29)</f>
        <v>2809107.9</v>
      </c>
      <c r="AC29" s="237"/>
      <c r="AD29" s="253"/>
      <c r="AE29" s="255">
        <v>3983.02</v>
      </c>
      <c r="AF29" s="239">
        <f t="shared" si="0"/>
        <v>2805124.88</v>
      </c>
      <c r="AG29" s="239"/>
      <c r="AH29" s="253"/>
      <c r="AI29" s="255">
        <v>1000</v>
      </c>
      <c r="AJ29" s="239">
        <f t="shared" si="1"/>
        <v>2804124.88</v>
      </c>
      <c r="AK29" s="239"/>
      <c r="AL29" s="253"/>
      <c r="AM29" s="255"/>
      <c r="AN29" s="239">
        <f t="shared" si="24"/>
        <v>2804124.88</v>
      </c>
      <c r="AO29" s="239"/>
      <c r="AP29" s="253"/>
      <c r="AQ29" s="255"/>
      <c r="AR29" s="239">
        <f t="shared" si="26"/>
        <v>2804124.88</v>
      </c>
      <c r="AS29" s="239"/>
      <c r="AT29" s="253"/>
      <c r="AU29" s="255"/>
      <c r="AV29" s="239">
        <f t="shared" si="28"/>
        <v>2804124.88</v>
      </c>
      <c r="AW29" s="239"/>
      <c r="AX29" s="253"/>
      <c r="AY29" s="255"/>
      <c r="AZ29" s="239">
        <f t="shared" si="30"/>
        <v>2804124.88</v>
      </c>
      <c r="BA29" s="239"/>
      <c r="BB29" s="286"/>
    </row>
    <row r="30" spans="1:54" ht="20.100000000000001" customHeight="1" x14ac:dyDescent="0.55000000000000004">
      <c r="A30" s="246">
        <v>23</v>
      </c>
      <c r="B30" s="223" t="s">
        <v>55</v>
      </c>
      <c r="C30" s="221">
        <v>61</v>
      </c>
      <c r="D30" s="253"/>
      <c r="E30" s="253">
        <v>2791051.38</v>
      </c>
      <c r="F30" s="254"/>
      <c r="G30" s="252"/>
      <c r="H30" s="238">
        <f t="shared" si="6"/>
        <v>0</v>
      </c>
      <c r="I30" s="237">
        <f t="shared" si="23"/>
        <v>2791051.38</v>
      </c>
      <c r="J30" s="254"/>
      <c r="K30" s="252"/>
      <c r="L30" s="237">
        <f t="shared" si="40"/>
        <v>0</v>
      </c>
      <c r="M30" s="237">
        <f>SUM(I30+J30-K30)</f>
        <v>2791051.38</v>
      </c>
      <c r="N30" s="254"/>
      <c r="O30" s="252"/>
      <c r="P30" s="237">
        <f t="shared" ref="P30" si="44">SUM(L30+N30-O30)</f>
        <v>0</v>
      </c>
      <c r="Q30" s="237">
        <f>SUM(M30+N30-O30)</f>
        <v>2791051.38</v>
      </c>
      <c r="R30" s="254"/>
      <c r="S30" s="252"/>
      <c r="T30" s="237">
        <f t="shared" si="41"/>
        <v>0</v>
      </c>
      <c r="U30" s="237">
        <f>SUM(Q30+R30-S30)</f>
        <v>2791051.38</v>
      </c>
      <c r="V30" s="254"/>
      <c r="W30" s="252"/>
      <c r="X30" s="237">
        <f t="shared" si="42"/>
        <v>0</v>
      </c>
      <c r="Y30" s="237">
        <f>SUM(U30+V30-W30)</f>
        <v>2791051.38</v>
      </c>
      <c r="Z30" s="254"/>
      <c r="AA30" s="252"/>
      <c r="AB30" s="237">
        <f t="shared" si="43"/>
        <v>0</v>
      </c>
      <c r="AC30" s="237">
        <f>SUM(Y30+Z30-AA30)</f>
        <v>2791051.38</v>
      </c>
      <c r="AD30" s="254"/>
      <c r="AE30" s="252"/>
      <c r="AF30" s="239">
        <f t="shared" si="0"/>
        <v>0</v>
      </c>
      <c r="AG30" s="239">
        <f t="shared" ref="AG30:AG60" si="45">SUM(AC30+AE30-AD30)</f>
        <v>2791051.38</v>
      </c>
      <c r="AH30" s="254"/>
      <c r="AI30" s="252"/>
      <c r="AJ30" s="239">
        <f t="shared" si="1"/>
        <v>0</v>
      </c>
      <c r="AK30" s="239">
        <f t="shared" ref="AK30:AK60" si="46">SUM(AG30+AI30-AH30)</f>
        <v>2791051.38</v>
      </c>
      <c r="AL30" s="254"/>
      <c r="AM30" s="252"/>
      <c r="AN30" s="239">
        <f t="shared" si="24"/>
        <v>0</v>
      </c>
      <c r="AO30" s="239">
        <f t="shared" ref="AO30" si="47">SUM(AK30+AM30-AL30)</f>
        <v>2791051.38</v>
      </c>
      <c r="AP30" s="254"/>
      <c r="AQ30" s="252"/>
      <c r="AR30" s="239">
        <f t="shared" si="26"/>
        <v>0</v>
      </c>
      <c r="AS30" s="239">
        <f t="shared" ref="AS30" si="48">SUM(AO30+AQ30-AP30)</f>
        <v>2791051.38</v>
      </c>
      <c r="AT30" s="254"/>
      <c r="AU30" s="252"/>
      <c r="AV30" s="239">
        <f t="shared" si="28"/>
        <v>0</v>
      </c>
      <c r="AW30" s="239">
        <f t="shared" ref="AW30" si="49">SUM(AS30+AU30-AT30)</f>
        <v>2791051.38</v>
      </c>
      <c r="AX30" s="254"/>
      <c r="AY30" s="252"/>
      <c r="AZ30" s="239">
        <f t="shared" si="30"/>
        <v>0</v>
      </c>
      <c r="BA30" s="239">
        <f t="shared" ref="BA30" si="50">SUM(AW30+AY30-AX30)</f>
        <v>2791051.38</v>
      </c>
      <c r="BB30" s="286"/>
    </row>
    <row r="31" spans="1:54" ht="20.100000000000001" customHeight="1" x14ac:dyDescent="0.55000000000000004">
      <c r="A31" s="246">
        <v>24</v>
      </c>
      <c r="B31" s="220" t="s">
        <v>56</v>
      </c>
      <c r="C31" s="221" t="s">
        <v>290</v>
      </c>
      <c r="D31" s="254">
        <v>1051497.53</v>
      </c>
      <c r="E31" s="254"/>
      <c r="F31" s="254"/>
      <c r="G31" s="252"/>
      <c r="H31" s="237">
        <f t="shared" si="6"/>
        <v>1051497.53</v>
      </c>
      <c r="I31" s="237"/>
      <c r="J31" s="254"/>
      <c r="K31" s="252"/>
      <c r="L31" s="237">
        <f>SUM(H31+J31-K31)</f>
        <v>1051497.53</v>
      </c>
      <c r="M31" s="237"/>
      <c r="N31" s="254"/>
      <c r="O31" s="252">
        <v>4610.72</v>
      </c>
      <c r="P31" s="237">
        <f>SUM(L31+N31-O31)</f>
        <v>1046886.81</v>
      </c>
      <c r="Q31" s="237"/>
      <c r="R31" s="254"/>
      <c r="S31" s="252">
        <v>2100</v>
      </c>
      <c r="T31" s="237">
        <f>SUM(P31+R31-S31)</f>
        <v>1044786.81</v>
      </c>
      <c r="U31" s="237"/>
      <c r="V31" s="254"/>
      <c r="W31" s="252">
        <v>2731.91</v>
      </c>
      <c r="X31" s="237">
        <f>SUM(T31+V31-W31)</f>
        <v>1042054.9</v>
      </c>
      <c r="Y31" s="237"/>
      <c r="Z31" s="254"/>
      <c r="AA31" s="252">
        <v>3304.11</v>
      </c>
      <c r="AB31" s="237">
        <f>SUM(X31+Z31-AA31)</f>
        <v>1038750.79</v>
      </c>
      <c r="AC31" s="237"/>
      <c r="AD31" s="254"/>
      <c r="AE31" s="252"/>
      <c r="AF31" s="239">
        <f t="shared" si="0"/>
        <v>1038750.79</v>
      </c>
      <c r="AG31" s="239">
        <f t="shared" si="45"/>
        <v>0</v>
      </c>
      <c r="AH31" s="254"/>
      <c r="AI31" s="252"/>
      <c r="AJ31" s="239">
        <f t="shared" si="1"/>
        <v>1038750.79</v>
      </c>
      <c r="AK31" s="239"/>
      <c r="AL31" s="254"/>
      <c r="AM31" s="252"/>
      <c r="AN31" s="239">
        <f t="shared" si="24"/>
        <v>1038750.79</v>
      </c>
      <c r="AO31" s="239"/>
      <c r="AP31" s="254"/>
      <c r="AQ31" s="252"/>
      <c r="AR31" s="239">
        <f t="shared" si="26"/>
        <v>1038750.79</v>
      </c>
      <c r="AS31" s="239"/>
      <c r="AT31" s="254"/>
      <c r="AU31" s="252"/>
      <c r="AV31" s="239">
        <f t="shared" si="28"/>
        <v>1038750.79</v>
      </c>
      <c r="AW31" s="239"/>
      <c r="AX31" s="254"/>
      <c r="AY31" s="252"/>
      <c r="AZ31" s="239">
        <f t="shared" si="30"/>
        <v>1038750.79</v>
      </c>
      <c r="BA31" s="239"/>
      <c r="BB31" s="286"/>
    </row>
    <row r="32" spans="1:54" ht="20.100000000000001" customHeight="1" x14ac:dyDescent="0.55000000000000004">
      <c r="A32" s="246">
        <v>25</v>
      </c>
      <c r="B32" s="223" t="s">
        <v>57</v>
      </c>
      <c r="C32" s="221">
        <v>67</v>
      </c>
      <c r="D32" s="254"/>
      <c r="E32" s="254">
        <v>1051497.53</v>
      </c>
      <c r="F32" s="254"/>
      <c r="G32" s="252"/>
      <c r="H32" s="244">
        <f t="shared" si="6"/>
        <v>0</v>
      </c>
      <c r="I32" s="237">
        <f t="shared" si="23"/>
        <v>1051497.53</v>
      </c>
      <c r="J32" s="254"/>
      <c r="K32" s="252"/>
      <c r="L32" s="237">
        <f>SUM(H32+J32-K32)</f>
        <v>0</v>
      </c>
      <c r="M32" s="237">
        <f>SUM(I32+J32-K32)</f>
        <v>1051497.53</v>
      </c>
      <c r="N32" s="254"/>
      <c r="O32" s="252"/>
      <c r="P32" s="237">
        <f>SUM(L32+N32-O32)</f>
        <v>0</v>
      </c>
      <c r="Q32" s="237">
        <f>SUM(M32+N32-O32)</f>
        <v>1051497.53</v>
      </c>
      <c r="R32" s="254"/>
      <c r="S32" s="252"/>
      <c r="T32" s="237">
        <f>SUM(P32+R32-S32)</f>
        <v>0</v>
      </c>
      <c r="U32" s="237">
        <f>SUM(Q32+R32-S32)</f>
        <v>1051497.53</v>
      </c>
      <c r="V32" s="254"/>
      <c r="W32" s="252"/>
      <c r="X32" s="237">
        <f>SUM(T32+V32-W32)</f>
        <v>0</v>
      </c>
      <c r="Y32" s="237">
        <f>SUM(U32+V32-W32)</f>
        <v>1051497.53</v>
      </c>
      <c r="Z32" s="254"/>
      <c r="AA32" s="252"/>
      <c r="AB32" s="237">
        <f>SUM(X32+Z32-AA32)</f>
        <v>0</v>
      </c>
      <c r="AC32" s="237">
        <f>SUM(Y32+Z32-AA32)</f>
        <v>1051497.53</v>
      </c>
      <c r="AD32" s="254"/>
      <c r="AE32" s="252"/>
      <c r="AF32" s="239">
        <f t="shared" si="0"/>
        <v>0</v>
      </c>
      <c r="AG32" s="239">
        <f t="shared" si="45"/>
        <v>1051497.53</v>
      </c>
      <c r="AH32" s="254"/>
      <c r="AI32" s="252"/>
      <c r="AJ32" s="239">
        <f t="shared" si="1"/>
        <v>0</v>
      </c>
      <c r="AK32" s="239">
        <f t="shared" si="46"/>
        <v>1051497.53</v>
      </c>
      <c r="AL32" s="254"/>
      <c r="AM32" s="252"/>
      <c r="AN32" s="239">
        <f t="shared" si="24"/>
        <v>0</v>
      </c>
      <c r="AO32" s="239">
        <f t="shared" ref="AO32:AO60" si="51">SUM(AK32+AM32-AL32)</f>
        <v>1051497.53</v>
      </c>
      <c r="AP32" s="254"/>
      <c r="AQ32" s="252"/>
      <c r="AR32" s="239">
        <f t="shared" si="26"/>
        <v>0</v>
      </c>
      <c r="AS32" s="239">
        <f t="shared" ref="AS32:AS60" si="52">SUM(AO32+AQ32-AP32)</f>
        <v>1051497.53</v>
      </c>
      <c r="AT32" s="254"/>
      <c r="AU32" s="252"/>
      <c r="AV32" s="239">
        <f t="shared" si="28"/>
        <v>0</v>
      </c>
      <c r="AW32" s="239">
        <f t="shared" ref="AW32:AW60" si="53">SUM(AS32+AU32-AT32)</f>
        <v>1051497.53</v>
      </c>
      <c r="AX32" s="254"/>
      <c r="AY32" s="252"/>
      <c r="AZ32" s="239">
        <f t="shared" si="30"/>
        <v>0</v>
      </c>
      <c r="BA32" s="239">
        <f t="shared" ref="BA32:BA60" si="54">SUM(AW32+AY32-AX32)</f>
        <v>1051497.53</v>
      </c>
      <c r="BB32" s="286"/>
    </row>
    <row r="33" spans="1:54" ht="20.100000000000001" customHeight="1" x14ac:dyDescent="0.55000000000000004">
      <c r="A33" s="246">
        <v>26</v>
      </c>
      <c r="B33" s="223" t="s">
        <v>241</v>
      </c>
      <c r="C33" s="221">
        <v>68</v>
      </c>
      <c r="D33" s="254">
        <v>533707.43999999994</v>
      </c>
      <c r="E33" s="255"/>
      <c r="F33" s="253"/>
      <c r="G33" s="252"/>
      <c r="H33" s="237">
        <f t="shared" si="6"/>
        <v>533707.43999999994</v>
      </c>
      <c r="I33" s="237">
        <f t="shared" si="23"/>
        <v>0</v>
      </c>
      <c r="J33" s="253"/>
      <c r="K33" s="252"/>
      <c r="L33" s="237">
        <f t="shared" ref="L33:L38" si="55">SUM(H33+J33-K33)</f>
        <v>533707.43999999994</v>
      </c>
      <c r="M33" s="237">
        <v>0</v>
      </c>
      <c r="N33" s="253"/>
      <c r="O33" s="252"/>
      <c r="P33" s="237">
        <f t="shared" ref="P33:P39" si="56">SUM(L33+N33-O33)</f>
        <v>533707.43999999994</v>
      </c>
      <c r="Q33" s="237">
        <v>0</v>
      </c>
      <c r="R33" s="253"/>
      <c r="S33" s="252"/>
      <c r="T33" s="237">
        <f t="shared" ref="T33:T37" si="57">SUM(P33+R33-S33)</f>
        <v>533707.43999999994</v>
      </c>
      <c r="U33" s="237">
        <v>0</v>
      </c>
      <c r="V33" s="253"/>
      <c r="W33" s="252"/>
      <c r="X33" s="237">
        <f t="shared" ref="X33:X37" si="58">SUM(T33+V33-W33)</f>
        <v>533707.43999999994</v>
      </c>
      <c r="Y33" s="237">
        <v>0</v>
      </c>
      <c r="Z33" s="253"/>
      <c r="AA33" s="252"/>
      <c r="AB33" s="237">
        <f t="shared" ref="AB33:AB38" si="59">SUM(X33+Z33-AA33)</f>
        <v>533707.43999999994</v>
      </c>
      <c r="AC33" s="237">
        <v>0</v>
      </c>
      <c r="AD33" s="253"/>
      <c r="AE33" s="252"/>
      <c r="AF33" s="239">
        <f t="shared" si="0"/>
        <v>533707.43999999994</v>
      </c>
      <c r="AG33" s="239">
        <f t="shared" si="45"/>
        <v>0</v>
      </c>
      <c r="AH33" s="253"/>
      <c r="AI33" s="252"/>
      <c r="AJ33" s="239">
        <f t="shared" si="1"/>
        <v>533707.43999999994</v>
      </c>
      <c r="AK33" s="239">
        <f t="shared" si="46"/>
        <v>0</v>
      </c>
      <c r="AL33" s="253"/>
      <c r="AM33" s="252"/>
      <c r="AN33" s="239">
        <f t="shared" si="24"/>
        <v>533707.43999999994</v>
      </c>
      <c r="AO33" s="239">
        <f t="shared" si="51"/>
        <v>0</v>
      </c>
      <c r="AP33" s="253"/>
      <c r="AQ33" s="252"/>
      <c r="AR33" s="239">
        <f t="shared" si="26"/>
        <v>533707.43999999994</v>
      </c>
      <c r="AS33" s="239">
        <f t="shared" si="52"/>
        <v>0</v>
      </c>
      <c r="AT33" s="253"/>
      <c r="AU33" s="252"/>
      <c r="AV33" s="239">
        <f t="shared" si="28"/>
        <v>533707.43999999994</v>
      </c>
      <c r="AW33" s="239">
        <f t="shared" si="53"/>
        <v>0</v>
      </c>
      <c r="AX33" s="253"/>
      <c r="AY33" s="252"/>
      <c r="AZ33" s="239">
        <f t="shared" si="30"/>
        <v>533707.43999999994</v>
      </c>
      <c r="BA33" s="239">
        <f t="shared" si="54"/>
        <v>0</v>
      </c>
      <c r="BB33" s="286"/>
    </row>
    <row r="34" spans="1:54" ht="20.100000000000001" customHeight="1" x14ac:dyDescent="0.55000000000000004">
      <c r="A34" s="246">
        <v>27</v>
      </c>
      <c r="B34" s="223" t="s">
        <v>242</v>
      </c>
      <c r="C34" s="221">
        <v>69</v>
      </c>
      <c r="D34" s="254"/>
      <c r="E34" s="254">
        <v>533707.43999999994</v>
      </c>
      <c r="F34" s="255"/>
      <c r="G34" s="254"/>
      <c r="H34" s="237">
        <f t="shared" si="6"/>
        <v>0</v>
      </c>
      <c r="I34" s="237">
        <f t="shared" si="23"/>
        <v>533707.43999999994</v>
      </c>
      <c r="J34" s="255"/>
      <c r="K34" s="254"/>
      <c r="L34" s="237">
        <f t="shared" si="55"/>
        <v>0</v>
      </c>
      <c r="M34" s="237">
        <f t="shared" ref="M34:M36" si="60">SUM(I34+J34-K34)</f>
        <v>533707.43999999994</v>
      </c>
      <c r="N34" s="255"/>
      <c r="O34" s="254"/>
      <c r="P34" s="237">
        <f t="shared" si="56"/>
        <v>0</v>
      </c>
      <c r="Q34" s="237">
        <f t="shared" ref="Q34:Q39" si="61">SUM(M34+N34-O34)</f>
        <v>533707.43999999994</v>
      </c>
      <c r="R34" s="255"/>
      <c r="S34" s="254"/>
      <c r="T34" s="237">
        <f t="shared" si="57"/>
        <v>0</v>
      </c>
      <c r="U34" s="237">
        <f t="shared" ref="U34:U37" si="62">SUM(Q34+R34-S34)</f>
        <v>533707.43999999994</v>
      </c>
      <c r="V34" s="255"/>
      <c r="W34" s="254"/>
      <c r="X34" s="237">
        <f t="shared" si="58"/>
        <v>0</v>
      </c>
      <c r="Y34" s="237">
        <f t="shared" ref="Y34:Y37" si="63">SUM(U34+V34-W34)</f>
        <v>533707.43999999994</v>
      </c>
      <c r="Z34" s="255"/>
      <c r="AA34" s="254"/>
      <c r="AB34" s="237">
        <f t="shared" si="59"/>
        <v>0</v>
      </c>
      <c r="AC34" s="237">
        <f t="shared" ref="AC34:AC38" si="64">SUM(Y34+Z34-AA34)</f>
        <v>533707.43999999994</v>
      </c>
      <c r="AD34" s="255"/>
      <c r="AE34" s="254"/>
      <c r="AF34" s="239">
        <f t="shared" si="0"/>
        <v>0</v>
      </c>
      <c r="AG34" s="239">
        <f t="shared" si="45"/>
        <v>533707.43999999994</v>
      </c>
      <c r="AH34" s="255"/>
      <c r="AI34" s="254"/>
      <c r="AJ34" s="239">
        <f t="shared" si="1"/>
        <v>0</v>
      </c>
      <c r="AK34" s="239">
        <f t="shared" si="46"/>
        <v>533707.43999999994</v>
      </c>
      <c r="AL34" s="255"/>
      <c r="AM34" s="254"/>
      <c r="AN34" s="239">
        <f t="shared" si="24"/>
        <v>0</v>
      </c>
      <c r="AO34" s="239">
        <f t="shared" si="51"/>
        <v>533707.43999999994</v>
      </c>
      <c r="AP34" s="255"/>
      <c r="AQ34" s="254"/>
      <c r="AR34" s="239">
        <f t="shared" si="26"/>
        <v>0</v>
      </c>
      <c r="AS34" s="239">
        <f t="shared" si="52"/>
        <v>533707.43999999994</v>
      </c>
      <c r="AT34" s="255"/>
      <c r="AU34" s="254"/>
      <c r="AV34" s="239">
        <f t="shared" si="28"/>
        <v>0</v>
      </c>
      <c r="AW34" s="239">
        <f t="shared" si="53"/>
        <v>533707.43999999994</v>
      </c>
      <c r="AX34" s="255"/>
      <c r="AY34" s="254"/>
      <c r="AZ34" s="239">
        <f t="shared" si="30"/>
        <v>0</v>
      </c>
      <c r="BA34" s="239">
        <f t="shared" si="54"/>
        <v>533707.43999999994</v>
      </c>
      <c r="BB34" s="286"/>
    </row>
    <row r="35" spans="1:54" ht="20.100000000000001" customHeight="1" x14ac:dyDescent="0.55000000000000004">
      <c r="A35" s="246">
        <v>28</v>
      </c>
      <c r="B35" s="228" t="s">
        <v>243</v>
      </c>
      <c r="C35" s="221">
        <v>70</v>
      </c>
      <c r="D35" s="254"/>
      <c r="E35" s="254">
        <v>9840</v>
      </c>
      <c r="F35" s="252"/>
      <c r="G35" s="254"/>
      <c r="H35" s="244">
        <f t="shared" si="6"/>
        <v>0</v>
      </c>
      <c r="I35" s="237">
        <f t="shared" si="23"/>
        <v>9840</v>
      </c>
      <c r="J35" s="252"/>
      <c r="K35" s="254"/>
      <c r="L35" s="237">
        <f t="shared" si="55"/>
        <v>0</v>
      </c>
      <c r="M35" s="237">
        <f t="shared" si="60"/>
        <v>9840</v>
      </c>
      <c r="N35" s="252"/>
      <c r="O35" s="254"/>
      <c r="P35" s="237">
        <f t="shared" si="56"/>
        <v>0</v>
      </c>
      <c r="Q35" s="237">
        <f t="shared" si="61"/>
        <v>9840</v>
      </c>
      <c r="R35" s="252"/>
      <c r="S35" s="254"/>
      <c r="T35" s="237">
        <f t="shared" si="57"/>
        <v>0</v>
      </c>
      <c r="U35" s="237">
        <f t="shared" si="62"/>
        <v>9840</v>
      </c>
      <c r="V35" s="252"/>
      <c r="W35" s="254"/>
      <c r="X35" s="237">
        <f t="shared" si="58"/>
        <v>0</v>
      </c>
      <c r="Y35" s="237">
        <f t="shared" si="63"/>
        <v>9840</v>
      </c>
      <c r="Z35" s="252"/>
      <c r="AA35" s="254"/>
      <c r="AB35" s="237">
        <f t="shared" si="59"/>
        <v>0</v>
      </c>
      <c r="AC35" s="237">
        <f t="shared" si="64"/>
        <v>9840</v>
      </c>
      <c r="AD35" s="252"/>
      <c r="AE35" s="254"/>
      <c r="AF35" s="239">
        <f t="shared" si="0"/>
        <v>0</v>
      </c>
      <c r="AG35" s="239">
        <f t="shared" si="45"/>
        <v>9840</v>
      </c>
      <c r="AH35" s="252"/>
      <c r="AI35" s="254"/>
      <c r="AJ35" s="239">
        <f t="shared" si="1"/>
        <v>0</v>
      </c>
      <c r="AK35" s="239">
        <f t="shared" si="46"/>
        <v>9840</v>
      </c>
      <c r="AL35" s="252"/>
      <c r="AM35" s="254"/>
      <c r="AN35" s="239">
        <f t="shared" si="24"/>
        <v>0</v>
      </c>
      <c r="AO35" s="239">
        <f t="shared" si="51"/>
        <v>9840</v>
      </c>
      <c r="AP35" s="252"/>
      <c r="AQ35" s="254"/>
      <c r="AR35" s="239">
        <f t="shared" si="26"/>
        <v>0</v>
      </c>
      <c r="AS35" s="239">
        <f t="shared" si="52"/>
        <v>9840</v>
      </c>
      <c r="AT35" s="252"/>
      <c r="AU35" s="254"/>
      <c r="AV35" s="239">
        <f t="shared" si="28"/>
        <v>0</v>
      </c>
      <c r="AW35" s="239">
        <f t="shared" si="53"/>
        <v>9840</v>
      </c>
      <c r="AX35" s="252"/>
      <c r="AY35" s="254"/>
      <c r="AZ35" s="239">
        <f t="shared" si="30"/>
        <v>0</v>
      </c>
      <c r="BA35" s="239">
        <f t="shared" si="54"/>
        <v>9840</v>
      </c>
      <c r="BB35" s="286"/>
    </row>
    <row r="36" spans="1:54" ht="20.100000000000001" customHeight="1" x14ac:dyDescent="0.55000000000000004">
      <c r="A36" s="246">
        <v>29</v>
      </c>
      <c r="B36" s="306" t="s">
        <v>8</v>
      </c>
      <c r="C36" s="221"/>
      <c r="D36" s="253">
        <v>1000</v>
      </c>
      <c r="E36" s="254"/>
      <c r="F36" s="252"/>
      <c r="G36" s="255"/>
      <c r="H36" s="244">
        <f t="shared" si="6"/>
        <v>1000</v>
      </c>
      <c r="I36" s="237">
        <f t="shared" si="23"/>
        <v>0</v>
      </c>
      <c r="J36" s="252"/>
      <c r="K36" s="255"/>
      <c r="L36" s="237">
        <f t="shared" si="55"/>
        <v>1000</v>
      </c>
      <c r="M36" s="237">
        <f t="shared" si="60"/>
        <v>0</v>
      </c>
      <c r="N36" s="252"/>
      <c r="O36" s="255"/>
      <c r="P36" s="237">
        <f t="shared" si="56"/>
        <v>1000</v>
      </c>
      <c r="Q36" s="237">
        <f t="shared" si="61"/>
        <v>0</v>
      </c>
      <c r="R36" s="252"/>
      <c r="S36" s="255"/>
      <c r="T36" s="237">
        <f t="shared" si="57"/>
        <v>1000</v>
      </c>
      <c r="U36" s="237">
        <f t="shared" si="62"/>
        <v>0</v>
      </c>
      <c r="V36" s="252"/>
      <c r="W36" s="254"/>
      <c r="X36" s="237">
        <f t="shared" si="58"/>
        <v>1000</v>
      </c>
      <c r="Y36" s="237">
        <f t="shared" si="63"/>
        <v>0</v>
      </c>
      <c r="Z36" s="252"/>
      <c r="AA36" s="254"/>
      <c r="AB36" s="237">
        <f t="shared" si="59"/>
        <v>1000</v>
      </c>
      <c r="AC36" s="237">
        <f t="shared" si="64"/>
        <v>0</v>
      </c>
      <c r="AD36" s="252"/>
      <c r="AE36" s="255"/>
      <c r="AF36" s="239">
        <f t="shared" si="0"/>
        <v>1000</v>
      </c>
      <c r="AG36" s="239">
        <f t="shared" si="45"/>
        <v>0</v>
      </c>
      <c r="AH36" s="252"/>
      <c r="AI36" s="255"/>
      <c r="AJ36" s="239"/>
      <c r="AK36" s="239"/>
      <c r="AL36" s="252"/>
      <c r="AM36" s="255"/>
      <c r="AN36" s="239"/>
      <c r="AO36" s="239"/>
      <c r="AP36" s="252"/>
      <c r="AQ36" s="255"/>
      <c r="AR36" s="239"/>
      <c r="AS36" s="239"/>
      <c r="AT36" s="252"/>
      <c r="AU36" s="255"/>
      <c r="AV36" s="239"/>
      <c r="AW36" s="239"/>
      <c r="AX36" s="252"/>
      <c r="AY36" s="255"/>
      <c r="AZ36" s="239"/>
      <c r="BA36" s="239"/>
      <c r="BB36" s="286"/>
    </row>
    <row r="37" spans="1:54" ht="20.100000000000001" customHeight="1" x14ac:dyDescent="0.55000000000000004">
      <c r="A37" s="246">
        <v>30</v>
      </c>
      <c r="B37" s="307" t="s">
        <v>295</v>
      </c>
      <c r="C37" s="221"/>
      <c r="D37" s="253"/>
      <c r="E37" s="254">
        <v>1000</v>
      </c>
      <c r="F37" s="252"/>
      <c r="G37" s="255"/>
      <c r="H37" s="244">
        <f t="shared" si="6"/>
        <v>0</v>
      </c>
      <c r="I37" s="237">
        <f t="shared" si="23"/>
        <v>1000</v>
      </c>
      <c r="J37" s="252"/>
      <c r="K37" s="255"/>
      <c r="L37" s="237">
        <f t="shared" si="55"/>
        <v>0</v>
      </c>
      <c r="M37" s="237">
        <f>SUM(I37+J37-K37)</f>
        <v>1000</v>
      </c>
      <c r="N37" s="252"/>
      <c r="O37" s="254"/>
      <c r="P37" s="237">
        <f t="shared" si="56"/>
        <v>0</v>
      </c>
      <c r="Q37" s="237">
        <f t="shared" si="61"/>
        <v>1000</v>
      </c>
      <c r="R37" s="252"/>
      <c r="S37" s="254"/>
      <c r="T37" s="237">
        <f t="shared" si="57"/>
        <v>0</v>
      </c>
      <c r="U37" s="237">
        <f t="shared" si="62"/>
        <v>1000</v>
      </c>
      <c r="V37" s="252"/>
      <c r="W37" s="254"/>
      <c r="X37" s="237">
        <f t="shared" si="58"/>
        <v>0</v>
      </c>
      <c r="Y37" s="237">
        <f t="shared" si="63"/>
        <v>1000</v>
      </c>
      <c r="Z37" s="252"/>
      <c r="AA37" s="254"/>
      <c r="AB37" s="237">
        <f t="shared" si="59"/>
        <v>0</v>
      </c>
      <c r="AC37" s="237">
        <f t="shared" si="64"/>
        <v>1000</v>
      </c>
      <c r="AD37" s="252"/>
      <c r="AE37" s="255"/>
      <c r="AF37" s="239">
        <f t="shared" si="0"/>
        <v>0</v>
      </c>
      <c r="AG37" s="239">
        <f t="shared" si="45"/>
        <v>1000</v>
      </c>
      <c r="AH37" s="252"/>
      <c r="AI37" s="255"/>
      <c r="AJ37" s="239"/>
      <c r="AK37" s="239"/>
      <c r="AL37" s="252"/>
      <c r="AM37" s="255"/>
      <c r="AN37" s="239"/>
      <c r="AO37" s="239"/>
      <c r="AP37" s="252"/>
      <c r="AQ37" s="255"/>
      <c r="AR37" s="239"/>
      <c r="AS37" s="239"/>
      <c r="AT37" s="252"/>
      <c r="AU37" s="255"/>
      <c r="AV37" s="239"/>
      <c r="AW37" s="239"/>
      <c r="AX37" s="252"/>
      <c r="AY37" s="255"/>
      <c r="AZ37" s="239"/>
      <c r="BA37" s="239"/>
      <c r="BB37" s="286"/>
    </row>
    <row r="38" spans="1:54" ht="20.100000000000001" customHeight="1" x14ac:dyDescent="0.55000000000000004">
      <c r="A38" s="246">
        <v>31</v>
      </c>
      <c r="B38" s="228" t="s">
        <v>251</v>
      </c>
      <c r="C38" s="221" t="s">
        <v>291</v>
      </c>
      <c r="D38" s="253"/>
      <c r="E38" s="254">
        <v>299247.87</v>
      </c>
      <c r="F38" s="254"/>
      <c r="G38" s="255"/>
      <c r="H38" s="244">
        <f t="shared" si="6"/>
        <v>0</v>
      </c>
      <c r="I38" s="237">
        <f>E38+G38-F38</f>
        <v>299247.87</v>
      </c>
      <c r="J38" s="254"/>
      <c r="K38" s="255"/>
      <c r="L38" s="237">
        <f t="shared" si="55"/>
        <v>0</v>
      </c>
      <c r="M38" s="237">
        <f>SUM(I38+K38-J38)</f>
        <v>299247.87</v>
      </c>
      <c r="N38" s="254">
        <v>3500</v>
      </c>
      <c r="O38" s="255"/>
      <c r="P38" s="237"/>
      <c r="Q38" s="237">
        <f>M38+O38-N38</f>
        <v>295747.87</v>
      </c>
      <c r="R38" s="254"/>
      <c r="S38" s="255"/>
      <c r="T38" s="237"/>
      <c r="U38" s="237">
        <f>SUM(Q38+S38-R38)</f>
        <v>295747.87</v>
      </c>
      <c r="V38" s="254">
        <v>9000</v>
      </c>
      <c r="W38" s="255"/>
      <c r="X38" s="237"/>
      <c r="Y38" s="237">
        <f>SUM(U38+W38-V38)</f>
        <v>286747.87</v>
      </c>
      <c r="Z38" s="254"/>
      <c r="AA38" s="255"/>
      <c r="AB38" s="237">
        <f t="shared" si="59"/>
        <v>0</v>
      </c>
      <c r="AC38" s="237">
        <f t="shared" si="64"/>
        <v>286747.87</v>
      </c>
      <c r="AD38" s="254">
        <v>1000</v>
      </c>
      <c r="AE38" s="255"/>
      <c r="AF38" s="239"/>
      <c r="AG38" s="239">
        <f t="shared" si="45"/>
        <v>285747.87</v>
      </c>
      <c r="AH38" s="254"/>
      <c r="AI38" s="255"/>
      <c r="AJ38" s="239"/>
      <c r="AK38" s="239">
        <f t="shared" si="46"/>
        <v>285747.87</v>
      </c>
      <c r="AL38" s="254"/>
      <c r="AM38" s="255"/>
      <c r="AN38" s="239"/>
      <c r="AO38" s="239">
        <f t="shared" si="51"/>
        <v>285747.87</v>
      </c>
      <c r="AP38" s="254"/>
      <c r="AQ38" s="255"/>
      <c r="AR38" s="239"/>
      <c r="AS38" s="239">
        <f t="shared" si="52"/>
        <v>285747.87</v>
      </c>
      <c r="AT38" s="254"/>
      <c r="AU38" s="255"/>
      <c r="AV38" s="239"/>
      <c r="AW38" s="239">
        <f t="shared" si="53"/>
        <v>285747.87</v>
      </c>
      <c r="AX38" s="254"/>
      <c r="AY38" s="255"/>
      <c r="AZ38" s="239"/>
      <c r="BA38" s="239">
        <f t="shared" si="54"/>
        <v>285747.87</v>
      </c>
      <c r="BB38" s="286"/>
    </row>
    <row r="39" spans="1:54" ht="20.100000000000001" customHeight="1" x14ac:dyDescent="0.55000000000000004">
      <c r="A39" s="246">
        <v>32</v>
      </c>
      <c r="B39" s="223" t="s">
        <v>59</v>
      </c>
      <c r="C39" s="221">
        <v>78</v>
      </c>
      <c r="D39" s="254"/>
      <c r="E39" s="254">
        <v>24618.74</v>
      </c>
      <c r="F39" s="254"/>
      <c r="G39" s="254"/>
      <c r="H39" s="244">
        <f t="shared" si="6"/>
        <v>0</v>
      </c>
      <c r="I39" s="237">
        <f t="shared" si="23"/>
        <v>24618.74</v>
      </c>
      <c r="J39" s="254"/>
      <c r="K39" s="254"/>
      <c r="L39" s="237">
        <f t="shared" ref="L39:L43" si="65">SUM(H39+J39-K39)</f>
        <v>0</v>
      </c>
      <c r="M39" s="237">
        <f t="shared" ref="M39:M40" si="66">SUM(I39+J39-K39)</f>
        <v>24618.74</v>
      </c>
      <c r="N39" s="254"/>
      <c r="O39" s="254"/>
      <c r="P39" s="237">
        <f t="shared" si="56"/>
        <v>0</v>
      </c>
      <c r="Q39" s="237">
        <f t="shared" si="61"/>
        <v>24618.74</v>
      </c>
      <c r="R39" s="254"/>
      <c r="S39" s="254"/>
      <c r="T39" s="237">
        <f t="shared" ref="T39:T41" si="67">SUM(P39+R39-S39)</f>
        <v>0</v>
      </c>
      <c r="U39" s="237">
        <f t="shared" ref="U39:U42" si="68">SUM(Q39+R39-S39)</f>
        <v>24618.74</v>
      </c>
      <c r="V39" s="254"/>
      <c r="W39" s="254"/>
      <c r="X39" s="237">
        <f t="shared" ref="X39:X41" si="69">SUM(T39+V39-W39)</f>
        <v>0</v>
      </c>
      <c r="Y39" s="237">
        <f t="shared" ref="Y39:Y42" si="70">SUM(U39+V39-W39)</f>
        <v>24618.74</v>
      </c>
      <c r="Z39" s="254"/>
      <c r="AA39" s="254"/>
      <c r="AB39" s="237">
        <f t="shared" ref="AB39:AB41" si="71">SUM(X39+Z39-AA39)</f>
        <v>0</v>
      </c>
      <c r="AC39" s="237">
        <f t="shared" ref="AC39:AC42" si="72">SUM(Y39+Z39-AA39)</f>
        <v>24618.74</v>
      </c>
      <c r="AD39" s="254"/>
      <c r="AE39" s="254"/>
      <c r="AF39" s="239">
        <f t="shared" si="0"/>
        <v>0</v>
      </c>
      <c r="AG39" s="239">
        <f t="shared" si="45"/>
        <v>24618.74</v>
      </c>
      <c r="AH39" s="254"/>
      <c r="AI39" s="254"/>
      <c r="AJ39" s="239">
        <f t="shared" si="1"/>
        <v>0</v>
      </c>
      <c r="AK39" s="239">
        <f t="shared" si="46"/>
        <v>24618.74</v>
      </c>
      <c r="AL39" s="254"/>
      <c r="AM39" s="254"/>
      <c r="AN39" s="239">
        <f t="shared" ref="AN39:AN52" si="73">SUM(AJ39+AL39-AM39)</f>
        <v>0</v>
      </c>
      <c r="AO39" s="239">
        <f t="shared" si="51"/>
        <v>24618.74</v>
      </c>
      <c r="AP39" s="254"/>
      <c r="AQ39" s="254"/>
      <c r="AR39" s="239">
        <f t="shared" ref="AR39:AR45" si="74">SUM(AN39+AP39-AQ39)</f>
        <v>0</v>
      </c>
      <c r="AS39" s="239">
        <f t="shared" si="52"/>
        <v>24618.74</v>
      </c>
      <c r="AT39" s="254"/>
      <c r="AU39" s="254"/>
      <c r="AV39" s="239">
        <f t="shared" ref="AV39:AV45" si="75">SUM(AR39+AT39-AU39)</f>
        <v>0</v>
      </c>
      <c r="AW39" s="239">
        <f t="shared" si="53"/>
        <v>24618.74</v>
      </c>
      <c r="AX39" s="254"/>
      <c r="AY39" s="254"/>
      <c r="AZ39" s="239">
        <f t="shared" ref="AZ39:AZ45" si="76">SUM(AV39+AX39-AY39)</f>
        <v>0</v>
      </c>
      <c r="BA39" s="239">
        <f t="shared" si="54"/>
        <v>24618.74</v>
      </c>
      <c r="BB39" s="286"/>
    </row>
    <row r="40" spans="1:54" ht="20.100000000000001" customHeight="1" x14ac:dyDescent="0.55000000000000004">
      <c r="A40" s="246">
        <v>33</v>
      </c>
      <c r="B40" s="223" t="s">
        <v>281</v>
      </c>
      <c r="C40" s="221">
        <v>79</v>
      </c>
      <c r="D40" s="254"/>
      <c r="E40" s="254">
        <v>750</v>
      </c>
      <c r="F40" s="255"/>
      <c r="G40" s="255"/>
      <c r="H40" s="244">
        <f t="shared" si="6"/>
        <v>0</v>
      </c>
      <c r="I40" s="237">
        <f t="shared" si="23"/>
        <v>750</v>
      </c>
      <c r="J40" s="255"/>
      <c r="K40" s="255"/>
      <c r="L40" s="237"/>
      <c r="M40" s="237">
        <f t="shared" si="66"/>
        <v>750</v>
      </c>
      <c r="N40" s="255"/>
      <c r="O40" s="255"/>
      <c r="P40" s="237">
        <f t="shared" ref="P40:P41" si="77">SUM(L40+N40-O40)</f>
        <v>0</v>
      </c>
      <c r="Q40" s="237">
        <f t="shared" ref="Q40:Q42" si="78">SUM(M40+N40-O40)</f>
        <v>750</v>
      </c>
      <c r="R40" s="255"/>
      <c r="S40" s="255"/>
      <c r="T40" s="237">
        <f t="shared" si="67"/>
        <v>0</v>
      </c>
      <c r="U40" s="237">
        <f t="shared" si="68"/>
        <v>750</v>
      </c>
      <c r="V40" s="255"/>
      <c r="W40" s="255"/>
      <c r="X40" s="237">
        <f t="shared" si="69"/>
        <v>0</v>
      </c>
      <c r="Y40" s="237">
        <f t="shared" si="70"/>
        <v>750</v>
      </c>
      <c r="Z40" s="255"/>
      <c r="AA40" s="255"/>
      <c r="AB40" s="237">
        <f t="shared" si="71"/>
        <v>0</v>
      </c>
      <c r="AC40" s="237">
        <f t="shared" si="72"/>
        <v>750</v>
      </c>
      <c r="AD40" s="255"/>
      <c r="AE40" s="255"/>
      <c r="AF40" s="239">
        <f t="shared" si="0"/>
        <v>0</v>
      </c>
      <c r="AG40" s="239">
        <f t="shared" si="45"/>
        <v>750</v>
      </c>
      <c r="AH40" s="255"/>
      <c r="AI40" s="255"/>
      <c r="AJ40" s="239">
        <f t="shared" si="1"/>
        <v>0</v>
      </c>
      <c r="AK40" s="239">
        <f t="shared" si="46"/>
        <v>750</v>
      </c>
      <c r="AL40" s="255"/>
      <c r="AM40" s="255"/>
      <c r="AN40" s="239">
        <f t="shared" si="73"/>
        <v>0</v>
      </c>
      <c r="AO40" s="239">
        <f t="shared" si="51"/>
        <v>750</v>
      </c>
      <c r="AP40" s="255"/>
      <c r="AQ40" s="255"/>
      <c r="AR40" s="239">
        <f t="shared" si="74"/>
        <v>0</v>
      </c>
      <c r="AS40" s="239">
        <f t="shared" si="52"/>
        <v>750</v>
      </c>
      <c r="AT40" s="255"/>
      <c r="AU40" s="255"/>
      <c r="AV40" s="239">
        <f t="shared" si="75"/>
        <v>0</v>
      </c>
      <c r="AW40" s="239">
        <f t="shared" si="53"/>
        <v>750</v>
      </c>
      <c r="AX40" s="255"/>
      <c r="AY40" s="255"/>
      <c r="AZ40" s="239">
        <f t="shared" si="76"/>
        <v>0</v>
      </c>
      <c r="BA40" s="239">
        <f t="shared" si="54"/>
        <v>750</v>
      </c>
      <c r="BB40" s="286"/>
    </row>
    <row r="41" spans="1:54" ht="20.100000000000001" customHeight="1" x14ac:dyDescent="0.55000000000000004">
      <c r="A41" s="246">
        <v>34</v>
      </c>
      <c r="B41" s="223" t="s">
        <v>282</v>
      </c>
      <c r="C41" s="221">
        <v>80</v>
      </c>
      <c r="D41" s="254"/>
      <c r="E41" s="254">
        <v>0</v>
      </c>
      <c r="F41" s="254"/>
      <c r="G41" s="254"/>
      <c r="H41" s="237">
        <f t="shared" si="6"/>
        <v>0</v>
      </c>
      <c r="I41" s="237">
        <f t="shared" si="23"/>
        <v>0</v>
      </c>
      <c r="J41" s="254"/>
      <c r="K41" s="254"/>
      <c r="L41" s="237"/>
      <c r="M41" s="237">
        <f>SUM(I41+J41-K41)</f>
        <v>0</v>
      </c>
      <c r="N41" s="254"/>
      <c r="O41" s="254"/>
      <c r="P41" s="237">
        <f t="shared" si="77"/>
        <v>0</v>
      </c>
      <c r="Q41" s="237">
        <f t="shared" si="78"/>
        <v>0</v>
      </c>
      <c r="R41" s="254"/>
      <c r="S41" s="254"/>
      <c r="T41" s="237">
        <f t="shared" si="67"/>
        <v>0</v>
      </c>
      <c r="U41" s="237">
        <f t="shared" si="68"/>
        <v>0</v>
      </c>
      <c r="V41" s="254"/>
      <c r="W41" s="254"/>
      <c r="X41" s="237">
        <f t="shared" si="69"/>
        <v>0</v>
      </c>
      <c r="Y41" s="237">
        <f t="shared" si="70"/>
        <v>0</v>
      </c>
      <c r="Z41" s="254"/>
      <c r="AA41" s="254"/>
      <c r="AB41" s="237">
        <f t="shared" si="71"/>
        <v>0</v>
      </c>
      <c r="AC41" s="237">
        <f t="shared" si="72"/>
        <v>0</v>
      </c>
      <c r="AD41" s="254"/>
      <c r="AE41" s="254"/>
      <c r="AF41" s="239">
        <f t="shared" si="0"/>
        <v>0</v>
      </c>
      <c r="AG41" s="239">
        <f t="shared" si="45"/>
        <v>0</v>
      </c>
      <c r="AH41" s="254"/>
      <c r="AI41" s="254"/>
      <c r="AJ41" s="239">
        <f t="shared" si="1"/>
        <v>0</v>
      </c>
      <c r="AK41" s="239">
        <f t="shared" si="46"/>
        <v>0</v>
      </c>
      <c r="AL41" s="254"/>
      <c r="AM41" s="254"/>
      <c r="AN41" s="239">
        <f t="shared" si="73"/>
        <v>0</v>
      </c>
      <c r="AO41" s="239">
        <f t="shared" si="51"/>
        <v>0</v>
      </c>
      <c r="AP41" s="254"/>
      <c r="AQ41" s="254"/>
      <c r="AR41" s="239">
        <f t="shared" si="74"/>
        <v>0</v>
      </c>
      <c r="AS41" s="239">
        <f t="shared" si="52"/>
        <v>0</v>
      </c>
      <c r="AT41" s="254"/>
      <c r="AU41" s="254"/>
      <c r="AV41" s="239">
        <f t="shared" si="75"/>
        <v>0</v>
      </c>
      <c r="AW41" s="239">
        <f t="shared" si="53"/>
        <v>0</v>
      </c>
      <c r="AX41" s="254"/>
      <c r="AY41" s="254"/>
      <c r="AZ41" s="239">
        <f t="shared" si="76"/>
        <v>0</v>
      </c>
      <c r="BA41" s="239">
        <f t="shared" si="54"/>
        <v>0</v>
      </c>
      <c r="BB41" s="286"/>
    </row>
    <row r="42" spans="1:54" ht="20.100000000000001" customHeight="1" x14ac:dyDescent="0.55000000000000004">
      <c r="A42" s="246">
        <v>35</v>
      </c>
      <c r="B42" s="223" t="s">
        <v>294</v>
      </c>
      <c r="C42" s="221"/>
      <c r="D42" s="255"/>
      <c r="E42" s="255"/>
      <c r="F42" s="254"/>
      <c r="G42" s="254"/>
      <c r="H42" s="244"/>
      <c r="I42" s="237"/>
      <c r="J42" s="254"/>
      <c r="K42" s="254">
        <v>54000</v>
      </c>
      <c r="L42" s="237"/>
      <c r="M42" s="237">
        <f>K42+I42-J42</f>
        <v>54000</v>
      </c>
      <c r="N42" s="254"/>
      <c r="O42" s="254"/>
      <c r="P42" s="237"/>
      <c r="Q42" s="237">
        <f t="shared" si="78"/>
        <v>54000</v>
      </c>
      <c r="R42" s="254"/>
      <c r="S42" s="254"/>
      <c r="T42" s="237"/>
      <c r="U42" s="237">
        <f t="shared" si="68"/>
        <v>54000</v>
      </c>
      <c r="V42" s="254"/>
      <c r="W42" s="254"/>
      <c r="X42" s="237"/>
      <c r="Y42" s="237">
        <f t="shared" si="70"/>
        <v>54000</v>
      </c>
      <c r="Z42" s="254"/>
      <c r="AA42" s="254"/>
      <c r="AB42" s="237"/>
      <c r="AC42" s="237">
        <f t="shared" si="72"/>
        <v>54000</v>
      </c>
      <c r="AD42" s="254"/>
      <c r="AE42" s="254"/>
      <c r="AF42" s="239"/>
      <c r="AG42" s="239">
        <f t="shared" si="45"/>
        <v>54000</v>
      </c>
      <c r="AH42" s="254"/>
      <c r="AI42" s="254"/>
      <c r="AJ42" s="239"/>
      <c r="AK42" s="239">
        <f t="shared" si="46"/>
        <v>54000</v>
      </c>
      <c r="AL42" s="254"/>
      <c r="AM42" s="254"/>
      <c r="AN42" s="239"/>
      <c r="AO42" s="239">
        <f t="shared" si="51"/>
        <v>54000</v>
      </c>
      <c r="AP42" s="254"/>
      <c r="AQ42" s="254"/>
      <c r="AR42" s="239"/>
      <c r="AS42" s="239">
        <f t="shared" si="52"/>
        <v>54000</v>
      </c>
      <c r="AT42" s="254"/>
      <c r="AU42" s="254"/>
      <c r="AV42" s="239"/>
      <c r="AW42" s="239">
        <f t="shared" si="53"/>
        <v>54000</v>
      </c>
      <c r="AX42" s="254"/>
      <c r="AY42" s="254"/>
      <c r="AZ42" s="239"/>
      <c r="BA42" s="239">
        <f t="shared" si="54"/>
        <v>54000</v>
      </c>
      <c r="BB42" s="286"/>
    </row>
    <row r="43" spans="1:54" ht="20.100000000000001" customHeight="1" x14ac:dyDescent="0.55000000000000004">
      <c r="A43" s="246">
        <v>36</v>
      </c>
      <c r="B43" s="225" t="s">
        <v>252</v>
      </c>
      <c r="C43" s="221">
        <v>81</v>
      </c>
      <c r="D43" s="254"/>
      <c r="E43" s="254">
        <v>200000</v>
      </c>
      <c r="F43" s="254"/>
      <c r="G43" s="254"/>
      <c r="H43" s="244">
        <f t="shared" si="6"/>
        <v>0</v>
      </c>
      <c r="I43" s="237">
        <f t="shared" si="23"/>
        <v>200000</v>
      </c>
      <c r="J43" s="254"/>
      <c r="K43" s="254"/>
      <c r="L43" s="237">
        <f t="shared" si="65"/>
        <v>0</v>
      </c>
      <c r="M43" s="237">
        <f>+I43-J43+K43</f>
        <v>200000</v>
      </c>
      <c r="N43" s="254"/>
      <c r="O43" s="254"/>
      <c r="P43" s="237">
        <v>0</v>
      </c>
      <c r="Q43" s="237">
        <f>+M43-N43+O43</f>
        <v>200000</v>
      </c>
      <c r="R43" s="254"/>
      <c r="S43" s="254"/>
      <c r="T43" s="237">
        <v>0</v>
      </c>
      <c r="U43" s="237">
        <f>+Q43-R43+S43</f>
        <v>200000</v>
      </c>
      <c r="V43" s="254"/>
      <c r="W43" s="254"/>
      <c r="X43" s="237">
        <v>0</v>
      </c>
      <c r="Y43" s="237">
        <f>+U43-V43+W43</f>
        <v>200000</v>
      </c>
      <c r="Z43" s="254"/>
      <c r="AA43" s="254"/>
      <c r="AB43" s="237">
        <v>0</v>
      </c>
      <c r="AC43" s="237">
        <f>+Y43-Z43+AA43</f>
        <v>200000</v>
      </c>
      <c r="AD43" s="254"/>
      <c r="AE43" s="254"/>
      <c r="AF43" s="239">
        <f t="shared" si="0"/>
        <v>0</v>
      </c>
      <c r="AG43" s="239">
        <f t="shared" si="45"/>
        <v>200000</v>
      </c>
      <c r="AH43" s="254"/>
      <c r="AI43" s="254"/>
      <c r="AJ43" s="239">
        <f t="shared" si="1"/>
        <v>0</v>
      </c>
      <c r="AK43" s="239">
        <f t="shared" si="46"/>
        <v>200000</v>
      </c>
      <c r="AL43" s="254"/>
      <c r="AM43" s="254"/>
      <c r="AN43" s="239">
        <f t="shared" si="73"/>
        <v>0</v>
      </c>
      <c r="AO43" s="239">
        <f t="shared" si="51"/>
        <v>200000</v>
      </c>
      <c r="AP43" s="254"/>
      <c r="AQ43" s="254"/>
      <c r="AR43" s="239">
        <f t="shared" si="74"/>
        <v>0</v>
      </c>
      <c r="AS43" s="239">
        <f t="shared" si="52"/>
        <v>200000</v>
      </c>
      <c r="AT43" s="254"/>
      <c r="AU43" s="254"/>
      <c r="AV43" s="239">
        <f t="shared" si="75"/>
        <v>0</v>
      </c>
      <c r="AW43" s="239">
        <f t="shared" si="53"/>
        <v>200000</v>
      </c>
      <c r="AX43" s="254"/>
      <c r="AY43" s="254"/>
      <c r="AZ43" s="239">
        <f t="shared" si="76"/>
        <v>0</v>
      </c>
      <c r="BA43" s="239">
        <f t="shared" si="54"/>
        <v>200000</v>
      </c>
      <c r="BB43" s="286"/>
    </row>
    <row r="44" spans="1:54" ht="20.100000000000001" customHeight="1" x14ac:dyDescent="0.55000000000000004">
      <c r="A44" s="246">
        <v>37</v>
      </c>
      <c r="B44" s="226" t="s">
        <v>253</v>
      </c>
      <c r="C44" s="221">
        <v>82</v>
      </c>
      <c r="D44" s="277"/>
      <c r="E44" s="254">
        <v>50000</v>
      </c>
      <c r="F44" s="253"/>
      <c r="G44" s="255"/>
      <c r="H44" s="237">
        <f t="shared" si="6"/>
        <v>0</v>
      </c>
      <c r="I44" s="237">
        <f t="shared" si="23"/>
        <v>50000</v>
      </c>
      <c r="J44" s="253"/>
      <c r="K44" s="255"/>
      <c r="L44" s="237">
        <f>SUM(H44+J44-K44)</f>
        <v>0</v>
      </c>
      <c r="M44" s="237">
        <f>SUM(I44-J44+K44)</f>
        <v>50000</v>
      </c>
      <c r="N44" s="253"/>
      <c r="O44" s="255"/>
      <c r="P44" s="237">
        <f>SUM(L44+N44-O44)</f>
        <v>0</v>
      </c>
      <c r="Q44" s="237">
        <f>SUM(M44-N44+O44)</f>
        <v>50000</v>
      </c>
      <c r="R44" s="253"/>
      <c r="S44" s="255"/>
      <c r="T44" s="237">
        <f>SUM(P44+R44-S44)</f>
        <v>0</v>
      </c>
      <c r="U44" s="237">
        <f>SUM(Q44-R44+S44)</f>
        <v>50000</v>
      </c>
      <c r="V44" s="253"/>
      <c r="W44" s="255"/>
      <c r="X44" s="237">
        <f>SUM(T44+V44-W44)</f>
        <v>0</v>
      </c>
      <c r="Y44" s="237">
        <f>SUM(U44-V44+W44)</f>
        <v>50000</v>
      </c>
      <c r="Z44" s="253"/>
      <c r="AA44" s="255"/>
      <c r="AB44" s="237">
        <f>SUM(X44+Z44-AA44)</f>
        <v>0</v>
      </c>
      <c r="AC44" s="237">
        <f>SUM(Y44-Z44+AA44)</f>
        <v>50000</v>
      </c>
      <c r="AD44" s="253"/>
      <c r="AE44" s="255"/>
      <c r="AF44" s="239">
        <f t="shared" si="0"/>
        <v>0</v>
      </c>
      <c r="AG44" s="239">
        <f t="shared" si="45"/>
        <v>50000</v>
      </c>
      <c r="AH44" s="253"/>
      <c r="AI44" s="255"/>
      <c r="AJ44" s="239">
        <f t="shared" si="1"/>
        <v>0</v>
      </c>
      <c r="AK44" s="239">
        <f t="shared" si="46"/>
        <v>50000</v>
      </c>
      <c r="AL44" s="253"/>
      <c r="AM44" s="255"/>
      <c r="AN44" s="239">
        <f t="shared" si="73"/>
        <v>0</v>
      </c>
      <c r="AO44" s="239">
        <f t="shared" si="51"/>
        <v>50000</v>
      </c>
      <c r="AP44" s="253"/>
      <c r="AQ44" s="255"/>
      <c r="AR44" s="239">
        <f t="shared" si="74"/>
        <v>0</v>
      </c>
      <c r="AS44" s="239">
        <f t="shared" si="52"/>
        <v>50000</v>
      </c>
      <c r="AT44" s="253"/>
      <c r="AU44" s="255"/>
      <c r="AV44" s="239">
        <f t="shared" si="75"/>
        <v>0</v>
      </c>
      <c r="AW44" s="239">
        <f t="shared" si="53"/>
        <v>50000</v>
      </c>
      <c r="AX44" s="253"/>
      <c r="AY44" s="255"/>
      <c r="AZ44" s="239">
        <f t="shared" si="76"/>
        <v>0</v>
      </c>
      <c r="BA44" s="239">
        <f t="shared" si="54"/>
        <v>50000</v>
      </c>
      <c r="BB44" s="286"/>
    </row>
    <row r="45" spans="1:54" ht="20.100000000000001" customHeight="1" x14ac:dyDescent="0.55000000000000004">
      <c r="A45" s="246">
        <v>38</v>
      </c>
      <c r="B45" s="223" t="s">
        <v>254</v>
      </c>
      <c r="C45" s="221">
        <v>83</v>
      </c>
      <c r="D45" s="254"/>
      <c r="E45" s="254">
        <v>3528929</v>
      </c>
      <c r="F45" s="254"/>
      <c r="G45" s="252"/>
      <c r="H45" s="237">
        <f t="shared" si="6"/>
        <v>0</v>
      </c>
      <c r="I45" s="237">
        <f t="shared" si="23"/>
        <v>3528929</v>
      </c>
      <c r="J45" s="254"/>
      <c r="K45" s="252"/>
      <c r="L45" s="237">
        <f t="shared" ref="L45" si="79">SUM(H45+J45-K45)</f>
        <v>0</v>
      </c>
      <c r="M45" s="237">
        <f>I45+K45-J45</f>
        <v>3528929</v>
      </c>
      <c r="N45" s="254"/>
      <c r="O45" s="252"/>
      <c r="P45" s="237">
        <f t="shared" ref="P45" si="80">SUM(L45+N45-O45)</f>
        <v>0</v>
      </c>
      <c r="Q45" s="237">
        <f>M45+O45-N45</f>
        <v>3528929</v>
      </c>
      <c r="R45" s="254"/>
      <c r="S45" s="252"/>
      <c r="T45" s="237">
        <f t="shared" ref="T45" si="81">SUM(P45+R45-S45)</f>
        <v>0</v>
      </c>
      <c r="U45" s="237">
        <f>Q45+S45-R45</f>
        <v>3528929</v>
      </c>
      <c r="V45" s="254"/>
      <c r="W45" s="252"/>
      <c r="X45" s="237">
        <f t="shared" ref="X45" si="82">SUM(T45+V45-W45)</f>
        <v>0</v>
      </c>
      <c r="Y45" s="237">
        <f>U45+W45-V45</f>
        <v>3528929</v>
      </c>
      <c r="Z45" s="254"/>
      <c r="AA45" s="252"/>
      <c r="AB45" s="237">
        <f t="shared" ref="AB45" si="83">SUM(X45+Z45-AA45)</f>
        <v>0</v>
      </c>
      <c r="AC45" s="237">
        <f>Y45+AA45-Z45</f>
        <v>3528929</v>
      </c>
      <c r="AD45" s="254"/>
      <c r="AE45" s="252"/>
      <c r="AF45" s="239">
        <f t="shared" si="0"/>
        <v>0</v>
      </c>
      <c r="AG45" s="239">
        <f t="shared" si="45"/>
        <v>3528929</v>
      </c>
      <c r="AH45" s="254"/>
      <c r="AI45" s="252"/>
      <c r="AJ45" s="239">
        <f t="shared" si="1"/>
        <v>0</v>
      </c>
      <c r="AK45" s="239">
        <f t="shared" si="46"/>
        <v>3528929</v>
      </c>
      <c r="AL45" s="254"/>
      <c r="AM45" s="252"/>
      <c r="AN45" s="239">
        <f t="shared" si="73"/>
        <v>0</v>
      </c>
      <c r="AO45" s="239">
        <f t="shared" si="51"/>
        <v>3528929</v>
      </c>
      <c r="AP45" s="254"/>
      <c r="AQ45" s="252"/>
      <c r="AR45" s="239">
        <f t="shared" si="74"/>
        <v>0</v>
      </c>
      <c r="AS45" s="239">
        <f t="shared" si="52"/>
        <v>3528929</v>
      </c>
      <c r="AT45" s="254"/>
      <c r="AU45" s="252"/>
      <c r="AV45" s="239">
        <f t="shared" si="75"/>
        <v>0</v>
      </c>
      <c r="AW45" s="239">
        <f t="shared" si="53"/>
        <v>3528929</v>
      </c>
      <c r="AX45" s="254"/>
      <c r="AY45" s="252"/>
      <c r="AZ45" s="239">
        <f t="shared" si="76"/>
        <v>0</v>
      </c>
      <c r="BA45" s="239">
        <f t="shared" si="54"/>
        <v>3528929</v>
      </c>
      <c r="BB45" s="286"/>
    </row>
    <row r="46" spans="1:54" ht="20.100000000000001" customHeight="1" x14ac:dyDescent="0.55000000000000004">
      <c r="A46" s="246">
        <v>39</v>
      </c>
      <c r="B46" s="223" t="s">
        <v>65</v>
      </c>
      <c r="C46" s="221" t="s">
        <v>292</v>
      </c>
      <c r="D46" s="254"/>
      <c r="E46" s="254">
        <v>1744630</v>
      </c>
      <c r="F46" s="254"/>
      <c r="G46" s="252"/>
      <c r="H46" s="237">
        <f t="shared" si="6"/>
        <v>0</v>
      </c>
      <c r="I46" s="237">
        <f t="shared" si="23"/>
        <v>1744630</v>
      </c>
      <c r="J46" s="254"/>
      <c r="K46" s="252"/>
      <c r="L46" s="237">
        <v>0</v>
      </c>
      <c r="M46" s="237">
        <f>+I46-J46+K46</f>
        <v>1744630</v>
      </c>
      <c r="N46" s="254"/>
      <c r="O46" s="252"/>
      <c r="P46" s="237">
        <v>0</v>
      </c>
      <c r="Q46" s="237">
        <f>+M46-N46+O46</f>
        <v>1744630</v>
      </c>
      <c r="R46" s="254"/>
      <c r="S46" s="252"/>
      <c r="T46" s="237">
        <v>0</v>
      </c>
      <c r="U46" s="237">
        <f>+Q46-R46+S46</f>
        <v>1744630</v>
      </c>
      <c r="V46" s="254"/>
      <c r="W46" s="252"/>
      <c r="X46" s="237">
        <v>0</v>
      </c>
      <c r="Y46" s="237">
        <f>+U46-V46+W46</f>
        <v>1744630</v>
      </c>
      <c r="Z46" s="254"/>
      <c r="AA46" s="252"/>
      <c r="AB46" s="237">
        <v>0</v>
      </c>
      <c r="AC46" s="237">
        <f>+Y46-Z46+AA46</f>
        <v>1744630</v>
      </c>
      <c r="AD46" s="254"/>
      <c r="AE46" s="252"/>
      <c r="AF46" s="239">
        <f t="shared" si="0"/>
        <v>0</v>
      </c>
      <c r="AG46" s="239">
        <f t="shared" si="45"/>
        <v>1744630</v>
      </c>
      <c r="AH46" s="254"/>
      <c r="AI46" s="252"/>
      <c r="AJ46" s="239">
        <f t="shared" si="1"/>
        <v>0</v>
      </c>
      <c r="AK46" s="239">
        <f t="shared" si="46"/>
        <v>1744630</v>
      </c>
      <c r="AL46" s="254"/>
      <c r="AM46" s="252"/>
      <c r="AN46" s="239"/>
      <c r="AO46" s="239">
        <f t="shared" si="51"/>
        <v>1744630</v>
      </c>
      <c r="AP46" s="254"/>
      <c r="AQ46" s="252"/>
      <c r="AR46" s="239"/>
      <c r="AS46" s="239">
        <f t="shared" si="52"/>
        <v>1744630</v>
      </c>
      <c r="AT46" s="254"/>
      <c r="AU46" s="252"/>
      <c r="AV46" s="239"/>
      <c r="AW46" s="239">
        <f t="shared" si="53"/>
        <v>1744630</v>
      </c>
      <c r="AX46" s="254"/>
      <c r="AY46" s="252"/>
      <c r="AZ46" s="239"/>
      <c r="BA46" s="239">
        <f t="shared" si="54"/>
        <v>1744630</v>
      </c>
      <c r="BB46" s="286"/>
    </row>
    <row r="47" spans="1:54" ht="20.100000000000001" customHeight="1" x14ac:dyDescent="0.55000000000000004">
      <c r="A47" s="246">
        <v>40</v>
      </c>
      <c r="B47" s="228" t="s">
        <v>22</v>
      </c>
      <c r="C47" s="221">
        <v>89</v>
      </c>
      <c r="D47" s="254"/>
      <c r="E47" s="254">
        <v>0</v>
      </c>
      <c r="F47" s="255"/>
      <c r="G47" s="252"/>
      <c r="H47" s="237">
        <f t="shared" si="6"/>
        <v>0</v>
      </c>
      <c r="I47" s="237">
        <f t="shared" si="23"/>
        <v>0</v>
      </c>
      <c r="J47" s="255"/>
      <c r="K47" s="252"/>
      <c r="L47" s="237">
        <f t="shared" ref="L47:L50" si="84">SUM(H47+J47-K47)</f>
        <v>0</v>
      </c>
      <c r="M47" s="237">
        <f t="shared" ref="M47:M50" si="85">SUM(I47+J47-K47)</f>
        <v>0</v>
      </c>
      <c r="N47" s="255"/>
      <c r="O47" s="252"/>
      <c r="P47" s="237">
        <f t="shared" ref="P47:P50" si="86">SUM(L47+N47-O47)</f>
        <v>0</v>
      </c>
      <c r="Q47" s="237">
        <f t="shared" ref="Q47:Q50" si="87">SUM(M47+N47-O47)</f>
        <v>0</v>
      </c>
      <c r="R47" s="255"/>
      <c r="S47" s="252"/>
      <c r="T47" s="237">
        <f t="shared" ref="T47:T50" si="88">SUM(P47+R47-S47)</f>
        <v>0</v>
      </c>
      <c r="U47" s="237">
        <f t="shared" ref="U47:U50" si="89">SUM(Q47+R47-S47)</f>
        <v>0</v>
      </c>
      <c r="V47" s="255"/>
      <c r="W47" s="252"/>
      <c r="X47" s="237">
        <f t="shared" ref="X47:X50" si="90">SUM(T47+V47-W47)</f>
        <v>0</v>
      </c>
      <c r="Y47" s="237">
        <f t="shared" ref="Y47:Y50" si="91">SUM(U47+V47-W47)</f>
        <v>0</v>
      </c>
      <c r="Z47" s="255"/>
      <c r="AA47" s="252"/>
      <c r="AB47" s="237">
        <f t="shared" ref="AB47:AB50" si="92">SUM(X47+Z47-AA47)</f>
        <v>0</v>
      </c>
      <c r="AC47" s="237">
        <f t="shared" ref="AC47:AC50" si="93">SUM(Y47+Z47-AA47)</f>
        <v>0</v>
      </c>
      <c r="AD47" s="255"/>
      <c r="AE47" s="252"/>
      <c r="AF47" s="239">
        <f t="shared" si="0"/>
        <v>0</v>
      </c>
      <c r="AG47" s="239">
        <f t="shared" si="45"/>
        <v>0</v>
      </c>
      <c r="AH47" s="255"/>
      <c r="AI47" s="252"/>
      <c r="AJ47" s="239">
        <f t="shared" si="1"/>
        <v>0</v>
      </c>
      <c r="AK47" s="239">
        <f t="shared" si="46"/>
        <v>0</v>
      </c>
      <c r="AL47" s="255"/>
      <c r="AM47" s="252"/>
      <c r="AN47" s="239">
        <f t="shared" si="73"/>
        <v>0</v>
      </c>
      <c r="AO47" s="239">
        <f t="shared" si="51"/>
        <v>0</v>
      </c>
      <c r="AP47" s="255"/>
      <c r="AQ47" s="252"/>
      <c r="AR47" s="239">
        <f t="shared" ref="AR47:AR52" si="94">SUM(AN47+AP47-AQ47)</f>
        <v>0</v>
      </c>
      <c r="AS47" s="239">
        <f t="shared" si="52"/>
        <v>0</v>
      </c>
      <c r="AT47" s="255"/>
      <c r="AU47" s="252"/>
      <c r="AV47" s="239">
        <f t="shared" ref="AV47:AV52" si="95">SUM(AR47+AT47-AU47)</f>
        <v>0</v>
      </c>
      <c r="AW47" s="239">
        <f t="shared" si="53"/>
        <v>0</v>
      </c>
      <c r="AX47" s="255"/>
      <c r="AY47" s="252"/>
      <c r="AZ47" s="239">
        <f t="shared" ref="AZ47:AZ52" si="96">SUM(AV47+AX47-AY47)</f>
        <v>0</v>
      </c>
      <c r="BA47" s="239">
        <f t="shared" si="54"/>
        <v>0</v>
      </c>
      <c r="BB47" s="286"/>
    </row>
    <row r="48" spans="1:54" ht="20.100000000000001" customHeight="1" x14ac:dyDescent="0.55000000000000004">
      <c r="A48" s="246">
        <v>41</v>
      </c>
      <c r="B48" s="220" t="s">
        <v>4</v>
      </c>
      <c r="C48" s="221">
        <v>90</v>
      </c>
      <c r="D48" s="254"/>
      <c r="E48" s="254">
        <v>59285</v>
      </c>
      <c r="F48" s="252"/>
      <c r="G48" s="254"/>
      <c r="H48" s="237">
        <f t="shared" si="6"/>
        <v>0</v>
      </c>
      <c r="I48" s="237">
        <f t="shared" si="23"/>
        <v>59285</v>
      </c>
      <c r="J48" s="252"/>
      <c r="K48" s="254"/>
      <c r="L48" s="238">
        <f t="shared" si="84"/>
        <v>0</v>
      </c>
      <c r="M48" s="238">
        <f t="shared" si="85"/>
        <v>59285</v>
      </c>
      <c r="N48" s="252"/>
      <c r="O48" s="254"/>
      <c r="P48" s="238">
        <f t="shared" si="86"/>
        <v>0</v>
      </c>
      <c r="Q48" s="238">
        <f t="shared" si="87"/>
        <v>59285</v>
      </c>
      <c r="R48" s="252"/>
      <c r="S48" s="254"/>
      <c r="T48" s="238">
        <f t="shared" si="88"/>
        <v>0</v>
      </c>
      <c r="U48" s="238">
        <f t="shared" si="89"/>
        <v>59285</v>
      </c>
      <c r="V48" s="252"/>
      <c r="W48" s="254"/>
      <c r="X48" s="238">
        <f t="shared" si="90"/>
        <v>0</v>
      </c>
      <c r="Y48" s="238">
        <f t="shared" si="91"/>
        <v>59285</v>
      </c>
      <c r="Z48" s="252"/>
      <c r="AA48" s="254"/>
      <c r="AB48" s="238">
        <f t="shared" si="92"/>
        <v>0</v>
      </c>
      <c r="AC48" s="238">
        <f t="shared" si="93"/>
        <v>59285</v>
      </c>
      <c r="AD48" s="252"/>
      <c r="AE48" s="254"/>
      <c r="AF48" s="239">
        <f t="shared" si="0"/>
        <v>0</v>
      </c>
      <c r="AG48" s="239">
        <f t="shared" si="45"/>
        <v>59285</v>
      </c>
      <c r="AH48" s="252"/>
      <c r="AI48" s="254"/>
      <c r="AJ48" s="239">
        <f t="shared" si="1"/>
        <v>0</v>
      </c>
      <c r="AK48" s="239">
        <f t="shared" si="46"/>
        <v>59285</v>
      </c>
      <c r="AL48" s="252"/>
      <c r="AM48" s="254"/>
      <c r="AN48" s="239">
        <f t="shared" si="73"/>
        <v>0</v>
      </c>
      <c r="AO48" s="239">
        <f t="shared" si="51"/>
        <v>59285</v>
      </c>
      <c r="AP48" s="252"/>
      <c r="AQ48" s="254"/>
      <c r="AR48" s="239">
        <f t="shared" si="94"/>
        <v>0</v>
      </c>
      <c r="AS48" s="239">
        <f t="shared" si="52"/>
        <v>59285</v>
      </c>
      <c r="AT48" s="252"/>
      <c r="AU48" s="254"/>
      <c r="AV48" s="239">
        <f t="shared" si="95"/>
        <v>0</v>
      </c>
      <c r="AW48" s="239">
        <f t="shared" si="53"/>
        <v>59285</v>
      </c>
      <c r="AX48" s="252"/>
      <c r="AY48" s="254"/>
      <c r="AZ48" s="239">
        <f t="shared" si="96"/>
        <v>0</v>
      </c>
      <c r="BA48" s="239">
        <f t="shared" si="54"/>
        <v>59285</v>
      </c>
      <c r="BB48" s="286"/>
    </row>
    <row r="49" spans="1:54" ht="20.100000000000001" customHeight="1" x14ac:dyDescent="0.55000000000000004">
      <c r="A49" s="246">
        <v>42</v>
      </c>
      <c r="B49" s="222" t="s">
        <v>3</v>
      </c>
      <c r="C49" s="221">
        <v>91</v>
      </c>
      <c r="D49" s="254"/>
      <c r="E49" s="254">
        <v>49650</v>
      </c>
      <c r="F49" s="252"/>
      <c r="G49" s="255"/>
      <c r="H49" s="237">
        <f t="shared" si="6"/>
        <v>0</v>
      </c>
      <c r="I49" s="237">
        <f t="shared" si="23"/>
        <v>49650</v>
      </c>
      <c r="J49" s="252"/>
      <c r="K49" s="255"/>
      <c r="L49" s="237">
        <f t="shared" si="84"/>
        <v>0</v>
      </c>
      <c r="M49" s="237">
        <f t="shared" si="85"/>
        <v>49650</v>
      </c>
      <c r="N49" s="252"/>
      <c r="O49" s="255"/>
      <c r="P49" s="237">
        <f t="shared" si="86"/>
        <v>0</v>
      </c>
      <c r="Q49" s="237">
        <f t="shared" si="87"/>
        <v>49650</v>
      </c>
      <c r="R49" s="252"/>
      <c r="S49" s="255"/>
      <c r="T49" s="237">
        <f t="shared" si="88"/>
        <v>0</v>
      </c>
      <c r="U49" s="237">
        <f t="shared" si="89"/>
        <v>49650</v>
      </c>
      <c r="V49" s="252"/>
      <c r="W49" s="255"/>
      <c r="X49" s="237">
        <f t="shared" si="90"/>
        <v>0</v>
      </c>
      <c r="Y49" s="237">
        <f t="shared" si="91"/>
        <v>49650</v>
      </c>
      <c r="Z49" s="252"/>
      <c r="AA49" s="255"/>
      <c r="AB49" s="237">
        <f t="shared" si="92"/>
        <v>0</v>
      </c>
      <c r="AC49" s="237">
        <f t="shared" si="93"/>
        <v>49650</v>
      </c>
      <c r="AD49" s="252"/>
      <c r="AE49" s="255"/>
      <c r="AF49" s="239">
        <f t="shared" si="0"/>
        <v>0</v>
      </c>
      <c r="AG49" s="239">
        <f t="shared" si="45"/>
        <v>49650</v>
      </c>
      <c r="AH49" s="252"/>
      <c r="AI49" s="255"/>
      <c r="AJ49" s="239">
        <f t="shared" si="1"/>
        <v>0</v>
      </c>
      <c r="AK49" s="239">
        <f t="shared" si="46"/>
        <v>49650</v>
      </c>
      <c r="AL49" s="252"/>
      <c r="AM49" s="255"/>
      <c r="AN49" s="239">
        <f t="shared" si="73"/>
        <v>0</v>
      </c>
      <c r="AO49" s="239">
        <f t="shared" si="51"/>
        <v>49650</v>
      </c>
      <c r="AP49" s="252"/>
      <c r="AQ49" s="255"/>
      <c r="AR49" s="239">
        <f t="shared" si="94"/>
        <v>0</v>
      </c>
      <c r="AS49" s="239">
        <f t="shared" si="52"/>
        <v>49650</v>
      </c>
      <c r="AT49" s="252"/>
      <c r="AU49" s="255"/>
      <c r="AV49" s="239">
        <f t="shared" si="95"/>
        <v>0</v>
      </c>
      <c r="AW49" s="239">
        <f t="shared" si="53"/>
        <v>49650</v>
      </c>
      <c r="AX49" s="252"/>
      <c r="AY49" s="255"/>
      <c r="AZ49" s="239">
        <f t="shared" si="96"/>
        <v>0</v>
      </c>
      <c r="BA49" s="239">
        <f t="shared" si="54"/>
        <v>49650</v>
      </c>
      <c r="BB49" s="286"/>
    </row>
    <row r="50" spans="1:54" ht="20.100000000000001" customHeight="1" x14ac:dyDescent="0.55000000000000004">
      <c r="A50" s="246">
        <v>43</v>
      </c>
      <c r="B50" s="223" t="s">
        <v>66</v>
      </c>
      <c r="C50" s="221">
        <v>92</v>
      </c>
      <c r="D50" s="254"/>
      <c r="E50" s="255">
        <v>9972</v>
      </c>
      <c r="F50" s="252"/>
      <c r="G50" s="254"/>
      <c r="H50" s="237">
        <f t="shared" si="6"/>
        <v>0</v>
      </c>
      <c r="I50" s="237">
        <f t="shared" si="23"/>
        <v>9972</v>
      </c>
      <c r="J50" s="252"/>
      <c r="K50" s="254"/>
      <c r="L50" s="237">
        <f t="shared" si="84"/>
        <v>0</v>
      </c>
      <c r="M50" s="240">
        <f t="shared" si="85"/>
        <v>9972</v>
      </c>
      <c r="N50" s="252"/>
      <c r="O50" s="254"/>
      <c r="P50" s="237">
        <f t="shared" si="86"/>
        <v>0</v>
      </c>
      <c r="Q50" s="240">
        <f t="shared" si="87"/>
        <v>9972</v>
      </c>
      <c r="R50" s="252"/>
      <c r="S50" s="254"/>
      <c r="T50" s="237">
        <f t="shared" si="88"/>
        <v>0</v>
      </c>
      <c r="U50" s="240">
        <f t="shared" si="89"/>
        <v>9972</v>
      </c>
      <c r="V50" s="252"/>
      <c r="W50" s="254"/>
      <c r="X50" s="237">
        <f t="shared" si="90"/>
        <v>0</v>
      </c>
      <c r="Y50" s="240">
        <f t="shared" si="91"/>
        <v>9972</v>
      </c>
      <c r="Z50" s="252"/>
      <c r="AA50" s="254"/>
      <c r="AB50" s="237">
        <f t="shared" si="92"/>
        <v>0</v>
      </c>
      <c r="AC50" s="240">
        <f t="shared" si="93"/>
        <v>9972</v>
      </c>
      <c r="AD50" s="252"/>
      <c r="AE50" s="254"/>
      <c r="AF50" s="239">
        <f t="shared" si="0"/>
        <v>0</v>
      </c>
      <c r="AG50" s="239">
        <f t="shared" si="45"/>
        <v>9972</v>
      </c>
      <c r="AH50" s="252"/>
      <c r="AI50" s="254"/>
      <c r="AJ50" s="239">
        <f t="shared" si="1"/>
        <v>0</v>
      </c>
      <c r="AK50" s="239">
        <f t="shared" si="46"/>
        <v>9972</v>
      </c>
      <c r="AL50" s="252"/>
      <c r="AM50" s="254"/>
      <c r="AN50" s="239">
        <f t="shared" si="73"/>
        <v>0</v>
      </c>
      <c r="AO50" s="239">
        <f t="shared" si="51"/>
        <v>9972</v>
      </c>
      <c r="AP50" s="252"/>
      <c r="AQ50" s="254"/>
      <c r="AR50" s="239">
        <f t="shared" si="94"/>
        <v>0</v>
      </c>
      <c r="AS50" s="239">
        <f t="shared" si="52"/>
        <v>9972</v>
      </c>
      <c r="AT50" s="252"/>
      <c r="AU50" s="254"/>
      <c r="AV50" s="239">
        <f t="shared" si="95"/>
        <v>0</v>
      </c>
      <c r="AW50" s="239">
        <f t="shared" si="53"/>
        <v>9972</v>
      </c>
      <c r="AX50" s="252"/>
      <c r="AY50" s="254"/>
      <c r="AZ50" s="239">
        <f t="shared" si="96"/>
        <v>0</v>
      </c>
      <c r="BA50" s="239">
        <f t="shared" si="54"/>
        <v>9972</v>
      </c>
      <c r="BB50" s="286"/>
    </row>
    <row r="51" spans="1:54" ht="20.100000000000001" customHeight="1" x14ac:dyDescent="0.55000000000000004">
      <c r="A51" s="246">
        <v>44</v>
      </c>
      <c r="B51" s="223" t="s">
        <v>255</v>
      </c>
      <c r="C51" s="221">
        <v>93</v>
      </c>
      <c r="D51" s="254">
        <f>3617463.46+112334.05</f>
        <v>3729797.51</v>
      </c>
      <c r="E51" s="254"/>
      <c r="F51" s="252"/>
      <c r="G51" s="254"/>
      <c r="H51" s="237">
        <f t="shared" si="6"/>
        <v>3729797.51</v>
      </c>
      <c r="I51" s="237">
        <f t="shared" si="23"/>
        <v>0</v>
      </c>
      <c r="J51" s="252"/>
      <c r="K51" s="254"/>
      <c r="L51" s="237">
        <f>SUM(H51+J51-K51)</f>
        <v>3729797.51</v>
      </c>
      <c r="M51" s="237">
        <f>SUM(I51+J51-K51)</f>
        <v>0</v>
      </c>
      <c r="N51" s="252"/>
      <c r="O51" s="254"/>
      <c r="P51" s="237">
        <f>SUM(L51+N51-O51)</f>
        <v>3729797.51</v>
      </c>
      <c r="Q51" s="237">
        <f>SUM(M51+N51-O51)</f>
        <v>0</v>
      </c>
      <c r="R51" s="254"/>
      <c r="S51" s="254"/>
      <c r="T51" s="237">
        <f>SUM(P51+R51-S51)</f>
        <v>3729797.51</v>
      </c>
      <c r="U51" s="237">
        <f>SUM(Q51+R51-S51)</f>
        <v>0</v>
      </c>
      <c r="V51" s="252"/>
      <c r="W51" s="254"/>
      <c r="X51" s="237">
        <f>SUM(T51+V51-W51)</f>
        <v>3729797.51</v>
      </c>
      <c r="Y51" s="237">
        <f>SUM(U51+V51-W51)</f>
        <v>0</v>
      </c>
      <c r="Z51" s="252"/>
      <c r="AA51" s="254"/>
      <c r="AB51" s="237">
        <f>SUM(X51+Z51-AA51)</f>
        <v>3729797.51</v>
      </c>
      <c r="AC51" s="237">
        <f>SUM(Y51+Z51-AA51)</f>
        <v>0</v>
      </c>
      <c r="AD51" s="252"/>
      <c r="AE51" s="254"/>
      <c r="AF51" s="239">
        <f t="shared" si="0"/>
        <v>3729797.51</v>
      </c>
      <c r="AG51" s="239">
        <f t="shared" si="45"/>
        <v>0</v>
      </c>
      <c r="AH51" s="252"/>
      <c r="AI51" s="254"/>
      <c r="AJ51" s="239">
        <f t="shared" si="1"/>
        <v>3729797.51</v>
      </c>
      <c r="AK51" s="239">
        <f t="shared" si="46"/>
        <v>0</v>
      </c>
      <c r="AL51" s="252"/>
      <c r="AM51" s="254"/>
      <c r="AN51" s="239">
        <f t="shared" si="73"/>
        <v>3729797.51</v>
      </c>
      <c r="AO51" s="239">
        <f t="shared" si="51"/>
        <v>0</v>
      </c>
      <c r="AP51" s="252"/>
      <c r="AQ51" s="254"/>
      <c r="AR51" s="239">
        <f t="shared" si="94"/>
        <v>3729797.51</v>
      </c>
      <c r="AS51" s="239">
        <f t="shared" si="52"/>
        <v>0</v>
      </c>
      <c r="AT51" s="252"/>
      <c r="AU51" s="254"/>
      <c r="AV51" s="239">
        <f t="shared" si="95"/>
        <v>3729797.51</v>
      </c>
      <c r="AW51" s="239">
        <f t="shared" si="53"/>
        <v>0</v>
      </c>
      <c r="AX51" s="252"/>
      <c r="AY51" s="254"/>
      <c r="AZ51" s="239">
        <f t="shared" si="96"/>
        <v>3729797.51</v>
      </c>
      <c r="BA51" s="239">
        <f t="shared" si="54"/>
        <v>0</v>
      </c>
      <c r="BB51" s="286"/>
    </row>
    <row r="52" spans="1:54" ht="20.100000000000001" customHeight="1" x14ac:dyDescent="0.55000000000000004">
      <c r="A52" s="246">
        <v>45</v>
      </c>
      <c r="B52" s="220" t="s">
        <v>256</v>
      </c>
      <c r="C52" s="221">
        <v>94</v>
      </c>
      <c r="D52" s="254"/>
      <c r="E52" s="254"/>
      <c r="F52" s="252"/>
      <c r="G52" s="255"/>
      <c r="H52" s="237">
        <f t="shared" si="6"/>
        <v>0</v>
      </c>
      <c r="I52" s="237">
        <f t="shared" si="23"/>
        <v>0</v>
      </c>
      <c r="J52" s="252"/>
      <c r="K52" s="255"/>
      <c r="L52" s="237"/>
      <c r="M52" s="237">
        <f>SUM(I52-J52+K52)</f>
        <v>0</v>
      </c>
      <c r="N52" s="252"/>
      <c r="O52" s="255"/>
      <c r="P52" s="237"/>
      <c r="Q52" s="237">
        <f>SUM(M52-N52+O52)</f>
        <v>0</v>
      </c>
      <c r="R52" s="252"/>
      <c r="S52" s="255"/>
      <c r="T52" s="237"/>
      <c r="U52" s="237">
        <f>SUM(Q52-R52+S52)</f>
        <v>0</v>
      </c>
      <c r="V52" s="252"/>
      <c r="W52" s="255">
        <v>1550.55</v>
      </c>
      <c r="X52" s="237"/>
      <c r="Y52" s="237">
        <f>U52+W52-V52</f>
        <v>1550.55</v>
      </c>
      <c r="Z52" s="252"/>
      <c r="AA52" s="255">
        <v>394.69</v>
      </c>
      <c r="AB52" s="237"/>
      <c r="AC52" s="237">
        <f>SUM(Y52-Z52+AA52)</f>
        <v>1945.24</v>
      </c>
      <c r="AD52" s="252"/>
      <c r="AE52" s="255">
        <v>175.48</v>
      </c>
      <c r="AF52" s="237"/>
      <c r="AG52" s="239">
        <f t="shared" si="45"/>
        <v>2120.7199999999998</v>
      </c>
      <c r="AH52" s="252"/>
      <c r="AI52" s="255">
        <v>75.180000000000007</v>
      </c>
      <c r="AJ52" s="237"/>
      <c r="AK52" s="239">
        <f t="shared" si="46"/>
        <v>2195.8999999999996</v>
      </c>
      <c r="AL52" s="252"/>
      <c r="AM52" s="255"/>
      <c r="AN52" s="237">
        <f t="shared" si="73"/>
        <v>0</v>
      </c>
      <c r="AO52" s="239">
        <f t="shared" si="51"/>
        <v>2195.8999999999996</v>
      </c>
      <c r="AP52" s="252"/>
      <c r="AQ52" s="255"/>
      <c r="AR52" s="237">
        <f t="shared" si="94"/>
        <v>0</v>
      </c>
      <c r="AS52" s="239">
        <f t="shared" si="52"/>
        <v>2195.8999999999996</v>
      </c>
      <c r="AT52" s="252"/>
      <c r="AU52" s="255"/>
      <c r="AV52" s="237">
        <f t="shared" si="95"/>
        <v>0</v>
      </c>
      <c r="AW52" s="239">
        <f t="shared" si="53"/>
        <v>2195.8999999999996</v>
      </c>
      <c r="AX52" s="252"/>
      <c r="AY52" s="255"/>
      <c r="AZ52" s="237">
        <f t="shared" si="96"/>
        <v>0</v>
      </c>
      <c r="BA52" s="239">
        <f t="shared" si="54"/>
        <v>2195.8999999999996</v>
      </c>
      <c r="BB52" s="286"/>
    </row>
    <row r="53" spans="1:54" ht="20.100000000000001" customHeight="1" x14ac:dyDescent="0.55000000000000004">
      <c r="A53" s="246">
        <v>46</v>
      </c>
      <c r="B53" s="222" t="s">
        <v>257</v>
      </c>
      <c r="C53" s="221" t="s">
        <v>293</v>
      </c>
      <c r="D53" s="252"/>
      <c r="E53" s="255"/>
      <c r="F53" s="252"/>
      <c r="G53" s="254"/>
      <c r="H53" s="237">
        <f t="shared" si="6"/>
        <v>0</v>
      </c>
      <c r="I53" s="237">
        <f t="shared" si="23"/>
        <v>0</v>
      </c>
      <c r="J53" s="252"/>
      <c r="K53" s="254"/>
      <c r="L53" s="237">
        <f t="shared" ref="L53" si="97">SUM(H53+J53-K53)</f>
        <v>0</v>
      </c>
      <c r="M53" s="237">
        <f t="shared" ref="M53:M54" si="98">SUM(I53-J53+K53)</f>
        <v>0</v>
      </c>
      <c r="N53" s="252"/>
      <c r="O53" s="254"/>
      <c r="P53" s="237">
        <f t="shared" ref="P53" si="99">SUM(L53+N53-O53)</f>
        <v>0</v>
      </c>
      <c r="Q53" s="237">
        <f t="shared" ref="Q53:Q54" si="100">SUM(M53-N53+O53)</f>
        <v>0</v>
      </c>
      <c r="R53" s="252"/>
      <c r="S53" s="254"/>
      <c r="T53" s="237">
        <f t="shared" ref="T53" si="101">SUM(P53+R53-S53)</f>
        <v>0</v>
      </c>
      <c r="U53" s="237">
        <f t="shared" ref="U53:U54" si="102">SUM(Q53-R53+S53)</f>
        <v>0</v>
      </c>
      <c r="V53" s="252"/>
      <c r="W53" s="254"/>
      <c r="X53" s="237">
        <f t="shared" ref="X53:X57" si="103">SUM(T53+V53-W53)</f>
        <v>0</v>
      </c>
      <c r="Y53" s="237">
        <f t="shared" ref="Y53" si="104">SUM(U53+V53-W53)</f>
        <v>0</v>
      </c>
      <c r="Z53" s="252"/>
      <c r="AA53" s="254"/>
      <c r="AB53" s="237">
        <f t="shared" ref="AB53:AB56" si="105">SUM(X53+Z53-AA53)</f>
        <v>0</v>
      </c>
      <c r="AC53" s="237">
        <f t="shared" ref="AC53:AC54" si="106">SUM(Y53-Z53+AA53)</f>
        <v>0</v>
      </c>
      <c r="AD53" s="252"/>
      <c r="AE53" s="254"/>
      <c r="AF53" s="239">
        <f t="shared" ref="AF53:AF94" si="107">SUM(AB53+AD53-AE53)</f>
        <v>0</v>
      </c>
      <c r="AG53" s="239">
        <f t="shared" si="45"/>
        <v>0</v>
      </c>
      <c r="AH53" s="252"/>
      <c r="AI53" s="254"/>
      <c r="AJ53" s="239">
        <f t="shared" ref="AJ53:AJ94" si="108">SUM(AF53+AH53-AI53)</f>
        <v>0</v>
      </c>
      <c r="AK53" s="239">
        <f t="shared" si="46"/>
        <v>0</v>
      </c>
      <c r="AL53" s="252"/>
      <c r="AM53" s="254"/>
      <c r="AN53" s="239">
        <f t="shared" ref="AN53:AN54" si="109">SUM(AJ53+AL53-AM53)</f>
        <v>0</v>
      </c>
      <c r="AO53" s="239">
        <f t="shared" si="51"/>
        <v>0</v>
      </c>
      <c r="AP53" s="252"/>
      <c r="AQ53" s="254"/>
      <c r="AR53" s="239">
        <f t="shared" ref="AR53:AR54" si="110">SUM(AN53+AP53-AQ53)</f>
        <v>0</v>
      </c>
      <c r="AS53" s="239">
        <f t="shared" si="52"/>
        <v>0</v>
      </c>
      <c r="AT53" s="252"/>
      <c r="AU53" s="254"/>
      <c r="AV53" s="239">
        <f t="shared" ref="AV53:AV54" si="111">SUM(AR53+AT53-AU53)</f>
        <v>0</v>
      </c>
      <c r="AW53" s="239">
        <f t="shared" si="53"/>
        <v>0</v>
      </c>
      <c r="AX53" s="252"/>
      <c r="AY53" s="254"/>
      <c r="AZ53" s="239">
        <f t="shared" ref="AZ53:AZ54" si="112">SUM(AV53+AX53-AY53)</f>
        <v>0</v>
      </c>
      <c r="BA53" s="239">
        <f t="shared" si="54"/>
        <v>0</v>
      </c>
      <c r="BB53" s="286"/>
    </row>
    <row r="54" spans="1:54" ht="20.100000000000001" customHeight="1" x14ac:dyDescent="0.55000000000000004">
      <c r="A54" s="246">
        <v>47</v>
      </c>
      <c r="B54" s="223" t="s">
        <v>258</v>
      </c>
      <c r="C54" s="299">
        <v>100104</v>
      </c>
      <c r="D54" s="252"/>
      <c r="E54" s="254"/>
      <c r="F54" s="252"/>
      <c r="G54" s="255"/>
      <c r="H54" s="237">
        <f t="shared" si="6"/>
        <v>0</v>
      </c>
      <c r="I54" s="237">
        <f t="shared" si="23"/>
        <v>0</v>
      </c>
      <c r="J54" s="252"/>
      <c r="K54" s="255"/>
      <c r="L54" s="240"/>
      <c r="M54" s="237">
        <f t="shared" si="98"/>
        <v>0</v>
      </c>
      <c r="N54" s="252"/>
      <c r="O54" s="255"/>
      <c r="P54" s="240"/>
      <c r="Q54" s="237">
        <f t="shared" si="100"/>
        <v>0</v>
      </c>
      <c r="R54" s="252"/>
      <c r="S54" s="255"/>
      <c r="T54" s="240"/>
      <c r="U54" s="237">
        <f t="shared" si="102"/>
        <v>0</v>
      </c>
      <c r="V54" s="252"/>
      <c r="W54" s="255">
        <v>523.49</v>
      </c>
      <c r="X54" s="237"/>
      <c r="Y54" s="237">
        <f>U54+W54-V54</f>
        <v>523.49</v>
      </c>
      <c r="Z54" s="252"/>
      <c r="AA54" s="255">
        <v>169.15</v>
      </c>
      <c r="AB54" s="237"/>
      <c r="AC54" s="237">
        <f t="shared" si="106"/>
        <v>692.64</v>
      </c>
      <c r="AD54" s="252"/>
      <c r="AE54" s="255">
        <v>75.209999999999994</v>
      </c>
      <c r="AF54" s="237"/>
      <c r="AG54" s="239">
        <f t="shared" si="45"/>
        <v>767.85</v>
      </c>
      <c r="AH54" s="252"/>
      <c r="AI54" s="255">
        <v>32.22</v>
      </c>
      <c r="AJ54" s="237"/>
      <c r="AK54" s="239">
        <f t="shared" si="46"/>
        <v>800.07</v>
      </c>
      <c r="AL54" s="252"/>
      <c r="AM54" s="255"/>
      <c r="AN54" s="237">
        <f t="shared" si="109"/>
        <v>0</v>
      </c>
      <c r="AO54" s="239">
        <f t="shared" si="51"/>
        <v>800.07</v>
      </c>
      <c r="AP54" s="252"/>
      <c r="AQ54" s="255"/>
      <c r="AR54" s="237">
        <f t="shared" si="110"/>
        <v>0</v>
      </c>
      <c r="AS54" s="239">
        <f t="shared" si="52"/>
        <v>800.07</v>
      </c>
      <c r="AT54" s="252"/>
      <c r="AU54" s="255"/>
      <c r="AV54" s="237">
        <f t="shared" si="111"/>
        <v>0</v>
      </c>
      <c r="AW54" s="239">
        <f t="shared" si="53"/>
        <v>800.07</v>
      </c>
      <c r="AX54" s="252"/>
      <c r="AY54" s="255"/>
      <c r="AZ54" s="237">
        <f t="shared" si="112"/>
        <v>0</v>
      </c>
      <c r="BA54" s="239">
        <f t="shared" si="54"/>
        <v>800.07</v>
      </c>
      <c r="BB54" s="286"/>
    </row>
    <row r="55" spans="1:54" ht="20.100000000000001" customHeight="1" x14ac:dyDescent="0.55000000000000004">
      <c r="A55" s="246">
        <v>48</v>
      </c>
      <c r="B55" s="223" t="s">
        <v>12</v>
      </c>
      <c r="C55" s="221">
        <v>105</v>
      </c>
      <c r="D55" s="254"/>
      <c r="E55" s="253"/>
      <c r="F55" s="252"/>
      <c r="G55" s="252"/>
      <c r="H55" s="237">
        <f t="shared" si="6"/>
        <v>0</v>
      </c>
      <c r="I55" s="237">
        <f t="shared" si="23"/>
        <v>0</v>
      </c>
      <c r="J55" s="252"/>
      <c r="K55" s="252"/>
      <c r="L55" s="237"/>
      <c r="M55" s="237">
        <f>SUM(I55-J55+K55)</f>
        <v>0</v>
      </c>
      <c r="N55" s="252"/>
      <c r="O55" s="252"/>
      <c r="P55" s="237"/>
      <c r="Q55" s="237">
        <f>SUM(M55-N55+O55)</f>
        <v>0</v>
      </c>
      <c r="R55" s="252"/>
      <c r="S55" s="252"/>
      <c r="T55" s="237"/>
      <c r="U55" s="237">
        <f>SUM(Q55-R55+S55)</f>
        <v>0</v>
      </c>
      <c r="V55" s="252"/>
      <c r="W55" s="252"/>
      <c r="X55" s="237">
        <f t="shared" si="103"/>
        <v>0</v>
      </c>
      <c r="Y55" s="237">
        <f>SUM(U55-V55+W55)</f>
        <v>0</v>
      </c>
      <c r="Z55" s="252"/>
      <c r="AA55" s="252"/>
      <c r="AB55" s="237">
        <f t="shared" si="105"/>
        <v>0</v>
      </c>
      <c r="AC55" s="237">
        <f>SUM(Y55-Z55+AA55)</f>
        <v>0</v>
      </c>
      <c r="AD55" s="252"/>
      <c r="AE55" s="252"/>
      <c r="AF55" s="239">
        <f t="shared" si="107"/>
        <v>0</v>
      </c>
      <c r="AG55" s="239">
        <f t="shared" si="45"/>
        <v>0</v>
      </c>
      <c r="AH55" s="252"/>
      <c r="AI55" s="252"/>
      <c r="AJ55" s="239">
        <f t="shared" si="108"/>
        <v>0</v>
      </c>
      <c r="AK55" s="239">
        <f t="shared" si="46"/>
        <v>0</v>
      </c>
      <c r="AL55" s="252"/>
      <c r="AM55" s="252"/>
      <c r="AN55" s="239">
        <f t="shared" ref="AN55:AN94" si="113">SUM(AJ55+AL55-AM55)</f>
        <v>0</v>
      </c>
      <c r="AO55" s="239">
        <f t="shared" si="51"/>
        <v>0</v>
      </c>
      <c r="AP55" s="252"/>
      <c r="AQ55" s="252"/>
      <c r="AR55" s="239">
        <f t="shared" ref="AR55:AR94" si="114">SUM(AN55+AP55-AQ55)</f>
        <v>0</v>
      </c>
      <c r="AS55" s="239">
        <f t="shared" si="52"/>
        <v>0</v>
      </c>
      <c r="AT55" s="252"/>
      <c r="AU55" s="252"/>
      <c r="AV55" s="239"/>
      <c r="AW55" s="239">
        <f t="shared" si="53"/>
        <v>0</v>
      </c>
      <c r="AX55" s="252"/>
      <c r="AY55" s="252"/>
      <c r="AZ55" s="239"/>
      <c r="BA55" s="239">
        <f t="shared" si="54"/>
        <v>0</v>
      </c>
      <c r="BB55" s="286"/>
    </row>
    <row r="56" spans="1:54" ht="20.100000000000001" customHeight="1" x14ac:dyDescent="0.55000000000000004">
      <c r="A56" s="246">
        <v>49</v>
      </c>
      <c r="B56" s="220" t="s">
        <v>244</v>
      </c>
      <c r="C56" s="221">
        <v>106</v>
      </c>
      <c r="D56" s="253"/>
      <c r="E56" s="253"/>
      <c r="F56" s="252"/>
      <c r="G56" s="252"/>
      <c r="H56" s="237">
        <f t="shared" si="6"/>
        <v>0</v>
      </c>
      <c r="I56" s="237">
        <f t="shared" si="23"/>
        <v>0</v>
      </c>
      <c r="J56" s="252"/>
      <c r="K56" s="252"/>
      <c r="L56" s="237">
        <f t="shared" ref="L56" si="115">SUM(H56+J56-K56)</f>
        <v>0</v>
      </c>
      <c r="M56" s="237">
        <f>SUM(I56+J56-K56)</f>
        <v>0</v>
      </c>
      <c r="N56" s="252"/>
      <c r="O56" s="252"/>
      <c r="P56" s="237">
        <f t="shared" ref="P56" si="116">SUM(L56+N56-O56)</f>
        <v>0</v>
      </c>
      <c r="Q56" s="237">
        <f>SUM(M56+N56-O56)</f>
        <v>0</v>
      </c>
      <c r="R56" s="252"/>
      <c r="S56" s="252"/>
      <c r="T56" s="237">
        <f t="shared" ref="T56" si="117">SUM(P56+R56-S56)</f>
        <v>0</v>
      </c>
      <c r="U56" s="237">
        <f>SUM(Q56+R56-S56)</f>
        <v>0</v>
      </c>
      <c r="V56" s="252"/>
      <c r="W56" s="252"/>
      <c r="X56" s="237">
        <f t="shared" si="103"/>
        <v>0</v>
      </c>
      <c r="Y56" s="237">
        <f>SUM(U56+V56-W56)</f>
        <v>0</v>
      </c>
      <c r="Z56" s="252"/>
      <c r="AA56" s="252"/>
      <c r="AB56" s="237">
        <f t="shared" si="105"/>
        <v>0</v>
      </c>
      <c r="AC56" s="237">
        <f>SUM(Y56+Z56-AA56)</f>
        <v>0</v>
      </c>
      <c r="AD56" s="252"/>
      <c r="AE56" s="252"/>
      <c r="AF56" s="239">
        <f t="shared" si="107"/>
        <v>0</v>
      </c>
      <c r="AG56" s="239">
        <f t="shared" si="45"/>
        <v>0</v>
      </c>
      <c r="AH56" s="252"/>
      <c r="AI56" s="252"/>
      <c r="AJ56" s="239">
        <f t="shared" si="108"/>
        <v>0</v>
      </c>
      <c r="AK56" s="239">
        <f t="shared" si="46"/>
        <v>0</v>
      </c>
      <c r="AL56" s="252"/>
      <c r="AM56" s="252"/>
      <c r="AN56" s="239">
        <f t="shared" si="113"/>
        <v>0</v>
      </c>
      <c r="AO56" s="239">
        <f t="shared" si="51"/>
        <v>0</v>
      </c>
      <c r="AP56" s="252"/>
      <c r="AQ56" s="252"/>
      <c r="AR56" s="239">
        <f t="shared" si="114"/>
        <v>0</v>
      </c>
      <c r="AS56" s="239">
        <f t="shared" si="52"/>
        <v>0</v>
      </c>
      <c r="AT56" s="252"/>
      <c r="AU56" s="252"/>
      <c r="AV56" s="239">
        <f t="shared" ref="AV56:AV94" si="118">SUM(AR56+AT56-AU56)</f>
        <v>0</v>
      </c>
      <c r="AW56" s="239">
        <f t="shared" si="53"/>
        <v>0</v>
      </c>
      <c r="AX56" s="252"/>
      <c r="AY56" s="252"/>
      <c r="AZ56" s="239">
        <f t="shared" ref="AZ56:AZ61" si="119">SUM(AV56+AX56-AY56)</f>
        <v>0</v>
      </c>
      <c r="BA56" s="239">
        <f t="shared" si="54"/>
        <v>0</v>
      </c>
      <c r="BB56" s="286"/>
    </row>
    <row r="57" spans="1:54" ht="20.100000000000001" customHeight="1" x14ac:dyDescent="0.55000000000000004">
      <c r="A57" s="246">
        <v>50</v>
      </c>
      <c r="B57" s="222" t="s">
        <v>71</v>
      </c>
      <c r="C57" s="299">
        <v>107108</v>
      </c>
      <c r="D57" s="255"/>
      <c r="E57" s="253"/>
      <c r="F57" s="252"/>
      <c r="G57" s="254"/>
      <c r="H57" s="237">
        <f t="shared" si="6"/>
        <v>0</v>
      </c>
      <c r="I57" s="237">
        <f t="shared" si="23"/>
        <v>0</v>
      </c>
      <c r="J57" s="252"/>
      <c r="K57" s="254"/>
      <c r="L57" s="237"/>
      <c r="M57" s="237">
        <f>SUM(I57-J57+K57)</f>
        <v>0</v>
      </c>
      <c r="N57" s="252"/>
      <c r="O57" s="254"/>
      <c r="P57" s="237"/>
      <c r="Q57" s="237">
        <f>SUM(M57-N57+O57)</f>
        <v>0</v>
      </c>
      <c r="R57" s="252"/>
      <c r="S57" s="254"/>
      <c r="T57" s="237"/>
      <c r="U57" s="237">
        <f>SUM(Q57-R57+S57)</f>
        <v>0</v>
      </c>
      <c r="V57" s="252"/>
      <c r="W57" s="254"/>
      <c r="X57" s="237">
        <f t="shared" si="103"/>
        <v>0</v>
      </c>
      <c r="Y57" s="237">
        <f>SUM(U57-V57+W57)</f>
        <v>0</v>
      </c>
      <c r="Z57" s="252"/>
      <c r="AA57" s="254"/>
      <c r="AB57" s="237"/>
      <c r="AC57" s="237">
        <f>SUM(Y57-Z57+AA57)</f>
        <v>0</v>
      </c>
      <c r="AD57" s="252"/>
      <c r="AE57" s="254"/>
      <c r="AF57" s="239">
        <f t="shared" si="107"/>
        <v>0</v>
      </c>
      <c r="AG57" s="239">
        <f t="shared" si="45"/>
        <v>0</v>
      </c>
      <c r="AH57" s="252"/>
      <c r="AI57" s="254"/>
      <c r="AJ57" s="239">
        <f t="shared" si="108"/>
        <v>0</v>
      </c>
      <c r="AK57" s="239">
        <f t="shared" si="46"/>
        <v>0</v>
      </c>
      <c r="AL57" s="252"/>
      <c r="AM57" s="254"/>
      <c r="AN57" s="239">
        <f t="shared" si="113"/>
        <v>0</v>
      </c>
      <c r="AO57" s="239">
        <f t="shared" si="51"/>
        <v>0</v>
      </c>
      <c r="AP57" s="252"/>
      <c r="AQ57" s="254"/>
      <c r="AR57" s="239">
        <f t="shared" si="114"/>
        <v>0</v>
      </c>
      <c r="AS57" s="239">
        <f t="shared" si="52"/>
        <v>0</v>
      </c>
      <c r="AT57" s="252"/>
      <c r="AU57" s="254"/>
      <c r="AV57" s="239"/>
      <c r="AW57" s="239">
        <f t="shared" si="53"/>
        <v>0</v>
      </c>
      <c r="AX57" s="252"/>
      <c r="AY57" s="254"/>
      <c r="AZ57" s="239"/>
      <c r="BA57" s="239">
        <f t="shared" si="54"/>
        <v>0</v>
      </c>
      <c r="BB57" s="286"/>
    </row>
    <row r="58" spans="1:54" ht="20.100000000000001" customHeight="1" x14ac:dyDescent="0.55000000000000004">
      <c r="A58" s="246">
        <v>51</v>
      </c>
      <c r="B58" s="222" t="s">
        <v>259</v>
      </c>
      <c r="C58" s="221">
        <v>109</v>
      </c>
      <c r="D58" s="254"/>
      <c r="E58" s="253"/>
      <c r="F58" s="254"/>
      <c r="G58" s="254"/>
      <c r="H58" s="237">
        <f t="shared" si="6"/>
        <v>0</v>
      </c>
      <c r="I58" s="237">
        <f t="shared" si="23"/>
        <v>0</v>
      </c>
      <c r="J58" s="254"/>
      <c r="K58" s="254"/>
      <c r="L58" s="240">
        <f t="shared" ref="L58:L86" si="120">SUM(H58+J58-K58)</f>
        <v>0</v>
      </c>
      <c r="M58" s="237">
        <f>SUM(I58-J58+K58)</f>
        <v>0</v>
      </c>
      <c r="N58" s="254"/>
      <c r="O58" s="254"/>
      <c r="P58" s="240">
        <f t="shared" ref="P58:P86" si="121">SUM(L58+N58-O58)</f>
        <v>0</v>
      </c>
      <c r="Q58" s="237">
        <f>SUM(M58-N58+O58)</f>
        <v>0</v>
      </c>
      <c r="R58" s="254"/>
      <c r="S58" s="254"/>
      <c r="T58" s="240">
        <f t="shared" ref="T58:T86" si="122">SUM(P58+R58-S58)</f>
        <v>0</v>
      </c>
      <c r="U58" s="237">
        <f>SUM(Q58-R58+S58)</f>
        <v>0</v>
      </c>
      <c r="V58" s="254"/>
      <c r="W58" s="254"/>
      <c r="X58" s="240">
        <f t="shared" ref="X58:X86" si="123">SUM(T58+V58-W58)</f>
        <v>0</v>
      </c>
      <c r="Y58" s="237">
        <f>SUM(U58-V58+W58)</f>
        <v>0</v>
      </c>
      <c r="Z58" s="254"/>
      <c r="AA58" s="254"/>
      <c r="AB58" s="240">
        <f t="shared" ref="AB58:AB86" si="124">SUM(X58+Z58-AA58)</f>
        <v>0</v>
      </c>
      <c r="AC58" s="237">
        <f>SUM(Y58-Z58+AA58)</f>
        <v>0</v>
      </c>
      <c r="AD58" s="254"/>
      <c r="AE58" s="254"/>
      <c r="AF58" s="239">
        <f t="shared" si="107"/>
        <v>0</v>
      </c>
      <c r="AG58" s="239">
        <f t="shared" si="45"/>
        <v>0</v>
      </c>
      <c r="AH58" s="254"/>
      <c r="AI58" s="254"/>
      <c r="AJ58" s="239">
        <f t="shared" si="108"/>
        <v>0</v>
      </c>
      <c r="AK58" s="239">
        <f t="shared" si="46"/>
        <v>0</v>
      </c>
      <c r="AL58" s="254"/>
      <c r="AM58" s="254"/>
      <c r="AN58" s="239">
        <f t="shared" si="113"/>
        <v>0</v>
      </c>
      <c r="AO58" s="239">
        <f t="shared" si="51"/>
        <v>0</v>
      </c>
      <c r="AP58" s="254"/>
      <c r="AQ58" s="254"/>
      <c r="AR58" s="239">
        <f t="shared" si="114"/>
        <v>0</v>
      </c>
      <c r="AS58" s="239">
        <f t="shared" si="52"/>
        <v>0</v>
      </c>
      <c r="AT58" s="254"/>
      <c r="AU58" s="254"/>
      <c r="AV58" s="239">
        <f t="shared" si="118"/>
        <v>0</v>
      </c>
      <c r="AW58" s="239">
        <f t="shared" si="53"/>
        <v>0</v>
      </c>
      <c r="AX58" s="254"/>
      <c r="AY58" s="254"/>
      <c r="AZ58" s="239">
        <f t="shared" si="119"/>
        <v>0</v>
      </c>
      <c r="BA58" s="239">
        <f t="shared" si="54"/>
        <v>0</v>
      </c>
      <c r="BB58" s="286"/>
    </row>
    <row r="59" spans="1:54" ht="20.100000000000001" customHeight="1" x14ac:dyDescent="0.55000000000000004">
      <c r="A59" s="246">
        <v>52</v>
      </c>
      <c r="B59" s="222" t="s">
        <v>10</v>
      </c>
      <c r="C59" s="221">
        <v>110</v>
      </c>
      <c r="D59" s="253"/>
      <c r="E59" s="253"/>
      <c r="F59" s="254"/>
      <c r="G59" s="257"/>
      <c r="H59" s="237">
        <f t="shared" si="6"/>
        <v>0</v>
      </c>
      <c r="I59" s="237">
        <f t="shared" si="23"/>
        <v>0</v>
      </c>
      <c r="J59" s="254"/>
      <c r="K59" s="257"/>
      <c r="L59" s="240">
        <f t="shared" si="120"/>
        <v>0</v>
      </c>
      <c r="M59" s="237">
        <f>SUM(I59-J59+K59)</f>
        <v>0</v>
      </c>
      <c r="N59" s="254"/>
      <c r="O59" s="257"/>
      <c r="P59" s="240">
        <f t="shared" si="121"/>
        <v>0</v>
      </c>
      <c r="Q59" s="237">
        <f>SUM(M59-N59+O59)</f>
        <v>0</v>
      </c>
      <c r="R59" s="254"/>
      <c r="S59" s="257"/>
      <c r="T59" s="240">
        <f t="shared" si="122"/>
        <v>0</v>
      </c>
      <c r="U59" s="237">
        <f>SUM(Q59-R59+S59)</f>
        <v>0</v>
      </c>
      <c r="V59" s="254"/>
      <c r="W59" s="257"/>
      <c r="X59" s="240">
        <f t="shared" si="123"/>
        <v>0</v>
      </c>
      <c r="Y59" s="237">
        <f>SUM(U59-V59+W59)</f>
        <v>0</v>
      </c>
      <c r="Z59" s="254"/>
      <c r="AA59" s="257"/>
      <c r="AB59" s="240">
        <f t="shared" si="124"/>
        <v>0</v>
      </c>
      <c r="AC59" s="237">
        <f>SUM(Y59-Z59+AA59)</f>
        <v>0</v>
      </c>
      <c r="AD59" s="254"/>
      <c r="AE59" s="257"/>
      <c r="AF59" s="239">
        <f t="shared" si="107"/>
        <v>0</v>
      </c>
      <c r="AG59" s="239">
        <f t="shared" si="45"/>
        <v>0</v>
      </c>
      <c r="AH59" s="254"/>
      <c r="AI59" s="360"/>
      <c r="AJ59" s="239">
        <f t="shared" si="108"/>
        <v>0</v>
      </c>
      <c r="AK59" s="239">
        <f t="shared" si="46"/>
        <v>0</v>
      </c>
      <c r="AL59" s="254"/>
      <c r="AM59" s="257"/>
      <c r="AN59" s="239">
        <f t="shared" si="113"/>
        <v>0</v>
      </c>
      <c r="AO59" s="239">
        <f t="shared" si="51"/>
        <v>0</v>
      </c>
      <c r="AP59" s="254"/>
      <c r="AQ59" s="257"/>
      <c r="AR59" s="239">
        <f t="shared" si="114"/>
        <v>0</v>
      </c>
      <c r="AS59" s="239">
        <f t="shared" si="52"/>
        <v>0</v>
      </c>
      <c r="AT59" s="254"/>
      <c r="AU59" s="257"/>
      <c r="AV59" s="239">
        <f t="shared" si="118"/>
        <v>0</v>
      </c>
      <c r="AW59" s="239">
        <f t="shared" si="53"/>
        <v>0</v>
      </c>
      <c r="AX59" s="254"/>
      <c r="AY59" s="257"/>
      <c r="AZ59" s="239">
        <f t="shared" si="119"/>
        <v>0</v>
      </c>
      <c r="BA59" s="239">
        <f t="shared" si="54"/>
        <v>0</v>
      </c>
      <c r="BB59" s="286"/>
    </row>
    <row r="60" spans="1:54" ht="20.100000000000001" customHeight="1" x14ac:dyDescent="0.55000000000000004">
      <c r="A60" s="246">
        <v>53</v>
      </c>
      <c r="B60" s="223" t="s">
        <v>260</v>
      </c>
      <c r="C60" s="221">
        <v>111</v>
      </c>
      <c r="D60" s="253"/>
      <c r="E60" s="253"/>
      <c r="F60" s="255"/>
      <c r="G60" s="256"/>
      <c r="H60" s="237">
        <f t="shared" si="6"/>
        <v>0</v>
      </c>
      <c r="I60" s="237">
        <f t="shared" si="23"/>
        <v>0</v>
      </c>
      <c r="J60" s="255"/>
      <c r="K60" s="256"/>
      <c r="L60" s="238">
        <f t="shared" si="120"/>
        <v>0</v>
      </c>
      <c r="M60" s="238">
        <f>SUM(I60+J60-K60)</f>
        <v>0</v>
      </c>
      <c r="N60" s="255"/>
      <c r="O60" s="256"/>
      <c r="P60" s="238">
        <f t="shared" si="121"/>
        <v>0</v>
      </c>
      <c r="Q60" s="238">
        <f>SUM(M60+N60-O60)</f>
        <v>0</v>
      </c>
      <c r="R60" s="255"/>
      <c r="S60" s="256"/>
      <c r="T60" s="238">
        <f t="shared" si="122"/>
        <v>0</v>
      </c>
      <c r="U60" s="238">
        <f>SUM(Q60+R60-S60)</f>
        <v>0</v>
      </c>
      <c r="V60" s="255"/>
      <c r="W60" s="256"/>
      <c r="X60" s="238">
        <f t="shared" si="123"/>
        <v>0</v>
      </c>
      <c r="Y60" s="238">
        <f>SUM(U60+V60-W60)</f>
        <v>0</v>
      </c>
      <c r="Z60" s="255"/>
      <c r="AA60" s="256"/>
      <c r="AB60" s="238">
        <f t="shared" si="124"/>
        <v>0</v>
      </c>
      <c r="AC60" s="238">
        <f>SUM(Y60+Z60-AA60)</f>
        <v>0</v>
      </c>
      <c r="AD60" s="255"/>
      <c r="AE60" s="256"/>
      <c r="AF60" s="239">
        <f t="shared" si="107"/>
        <v>0</v>
      </c>
      <c r="AG60" s="239">
        <f t="shared" si="45"/>
        <v>0</v>
      </c>
      <c r="AH60" s="255"/>
      <c r="AI60" s="361"/>
      <c r="AJ60" s="239">
        <f t="shared" si="108"/>
        <v>0</v>
      </c>
      <c r="AK60" s="239">
        <f t="shared" si="46"/>
        <v>0</v>
      </c>
      <c r="AL60" s="255"/>
      <c r="AM60" s="256"/>
      <c r="AN60" s="239">
        <f t="shared" si="113"/>
        <v>0</v>
      </c>
      <c r="AO60" s="239">
        <f t="shared" si="51"/>
        <v>0</v>
      </c>
      <c r="AP60" s="255"/>
      <c r="AQ60" s="256"/>
      <c r="AR60" s="239">
        <f t="shared" si="114"/>
        <v>0</v>
      </c>
      <c r="AS60" s="239">
        <f t="shared" si="52"/>
        <v>0</v>
      </c>
      <c r="AT60" s="255"/>
      <c r="AU60" s="256"/>
      <c r="AV60" s="239">
        <f t="shared" si="118"/>
        <v>0</v>
      </c>
      <c r="AW60" s="239">
        <f t="shared" si="53"/>
        <v>0</v>
      </c>
      <c r="AX60" s="255"/>
      <c r="AY60" s="256"/>
      <c r="AZ60" s="239">
        <f t="shared" si="119"/>
        <v>0</v>
      </c>
      <c r="BA60" s="239">
        <f t="shared" si="54"/>
        <v>0</v>
      </c>
      <c r="BB60" s="286"/>
    </row>
    <row r="61" spans="1:54" s="233" customFormat="1" ht="20.100000000000001" customHeight="1" x14ac:dyDescent="0.55000000000000004">
      <c r="A61" s="246">
        <v>54</v>
      </c>
      <c r="B61" s="225" t="s">
        <v>149</v>
      </c>
      <c r="C61" s="243">
        <v>112</v>
      </c>
      <c r="D61" s="278"/>
      <c r="E61" s="278"/>
      <c r="F61" s="260">
        <v>400</v>
      </c>
      <c r="G61" s="259"/>
      <c r="H61" s="237">
        <f t="shared" si="6"/>
        <v>400</v>
      </c>
      <c r="I61" s="237"/>
      <c r="J61" s="260">
        <v>400</v>
      </c>
      <c r="K61" s="259"/>
      <c r="L61" s="237">
        <f t="shared" si="120"/>
        <v>800</v>
      </c>
      <c r="M61" s="237"/>
      <c r="N61" s="260">
        <v>400</v>
      </c>
      <c r="O61" s="259"/>
      <c r="P61" s="237">
        <f t="shared" si="121"/>
        <v>1200</v>
      </c>
      <c r="Q61" s="237"/>
      <c r="R61" s="260">
        <v>400</v>
      </c>
      <c r="S61" s="259"/>
      <c r="T61" s="237">
        <f t="shared" si="122"/>
        <v>1600</v>
      </c>
      <c r="U61" s="237"/>
      <c r="V61" s="260">
        <v>400</v>
      </c>
      <c r="W61" s="259"/>
      <c r="X61" s="237">
        <f t="shared" si="123"/>
        <v>2000</v>
      </c>
      <c r="Y61" s="237"/>
      <c r="Z61" s="260">
        <v>400</v>
      </c>
      <c r="AA61" s="259"/>
      <c r="AB61" s="237">
        <f t="shared" si="124"/>
        <v>2400</v>
      </c>
      <c r="AC61" s="237"/>
      <c r="AD61" s="260">
        <v>400</v>
      </c>
      <c r="AE61" s="259"/>
      <c r="AF61" s="239">
        <f t="shared" si="107"/>
        <v>2800</v>
      </c>
      <c r="AG61" s="239"/>
      <c r="AH61" s="260">
        <v>400</v>
      </c>
      <c r="AI61" s="362"/>
      <c r="AJ61" s="239">
        <f t="shared" si="108"/>
        <v>3200</v>
      </c>
      <c r="AK61" s="239"/>
      <c r="AL61" s="260"/>
      <c r="AM61" s="259"/>
      <c r="AN61" s="239">
        <f t="shared" si="113"/>
        <v>3200</v>
      </c>
      <c r="AO61" s="239"/>
      <c r="AP61" s="260"/>
      <c r="AQ61" s="259"/>
      <c r="AR61" s="239">
        <f t="shared" si="114"/>
        <v>3200</v>
      </c>
      <c r="AS61" s="239"/>
      <c r="AT61" s="260"/>
      <c r="AU61" s="259"/>
      <c r="AV61" s="239">
        <f t="shared" si="118"/>
        <v>3200</v>
      </c>
      <c r="AW61" s="239"/>
      <c r="AX61" s="260"/>
      <c r="AY61" s="259"/>
      <c r="AZ61" s="239">
        <f t="shared" si="119"/>
        <v>3200</v>
      </c>
      <c r="BA61" s="239"/>
      <c r="BB61" s="286"/>
    </row>
    <row r="62" spans="1:54" s="233" customFormat="1" ht="20.100000000000001" customHeight="1" x14ac:dyDescent="0.55000000000000004">
      <c r="A62" s="246">
        <v>55</v>
      </c>
      <c r="B62" s="223" t="s">
        <v>150</v>
      </c>
      <c r="C62" s="221">
        <v>115</v>
      </c>
      <c r="D62" s="279"/>
      <c r="E62" s="278"/>
      <c r="F62" s="258">
        <f>300+500</f>
        <v>800</v>
      </c>
      <c r="G62" s="261"/>
      <c r="H62" s="237">
        <f t="shared" si="6"/>
        <v>800</v>
      </c>
      <c r="I62" s="237"/>
      <c r="J62" s="258">
        <v>300</v>
      </c>
      <c r="K62" s="261"/>
      <c r="L62" s="237">
        <f t="shared" si="120"/>
        <v>1100</v>
      </c>
      <c r="M62" s="237"/>
      <c r="N62" s="258">
        <v>300</v>
      </c>
      <c r="O62" s="261"/>
      <c r="P62" s="237">
        <f t="shared" si="121"/>
        <v>1400</v>
      </c>
      <c r="Q62" s="237"/>
      <c r="R62" s="258">
        <v>300</v>
      </c>
      <c r="S62" s="261"/>
      <c r="T62" s="237">
        <f t="shared" si="122"/>
        <v>1700</v>
      </c>
      <c r="U62" s="237"/>
      <c r="V62" s="258">
        <v>300</v>
      </c>
      <c r="W62" s="261"/>
      <c r="X62" s="237">
        <f t="shared" si="123"/>
        <v>2000</v>
      </c>
      <c r="Y62" s="237"/>
      <c r="Z62" s="258">
        <v>800</v>
      </c>
      <c r="AA62" s="261"/>
      <c r="AB62" s="237">
        <f t="shared" si="124"/>
        <v>2800</v>
      </c>
      <c r="AC62" s="237"/>
      <c r="AD62" s="258">
        <v>1300</v>
      </c>
      <c r="AE62" s="261"/>
      <c r="AF62" s="239">
        <f t="shared" si="107"/>
        <v>4100</v>
      </c>
      <c r="AG62" s="239"/>
      <c r="AH62" s="258">
        <v>300</v>
      </c>
      <c r="AI62" s="363"/>
      <c r="AJ62" s="239">
        <f t="shared" si="108"/>
        <v>4400</v>
      </c>
      <c r="AK62" s="239"/>
      <c r="AL62" s="258"/>
      <c r="AM62" s="261"/>
      <c r="AN62" s="239">
        <f t="shared" si="113"/>
        <v>4400</v>
      </c>
      <c r="AO62" s="239"/>
      <c r="AP62" s="258"/>
      <c r="AQ62" s="261"/>
      <c r="AR62" s="239">
        <f t="shared" si="114"/>
        <v>4400</v>
      </c>
      <c r="AS62" s="239"/>
      <c r="AT62" s="258"/>
      <c r="AU62" s="261"/>
      <c r="AV62" s="239">
        <f>SUM(AR62+AT62-AU62)</f>
        <v>4400</v>
      </c>
      <c r="AW62" s="239"/>
      <c r="AX62" s="258"/>
      <c r="AY62" s="261"/>
      <c r="AZ62" s="239">
        <f>SUM(AV62+AX62-AY62)</f>
        <v>4400</v>
      </c>
      <c r="BA62" s="239"/>
      <c r="BB62" s="286"/>
    </row>
    <row r="63" spans="1:54" ht="20.100000000000001" customHeight="1" x14ac:dyDescent="0.55000000000000004">
      <c r="A63" s="246">
        <v>56</v>
      </c>
      <c r="B63" s="223" t="s">
        <v>17</v>
      </c>
      <c r="C63" s="221">
        <v>118</v>
      </c>
      <c r="D63" s="252"/>
      <c r="E63" s="255"/>
      <c r="F63" s="254"/>
      <c r="G63" s="254"/>
      <c r="H63" s="237">
        <f t="shared" si="6"/>
        <v>0</v>
      </c>
      <c r="I63" s="237">
        <f t="shared" si="23"/>
        <v>0</v>
      </c>
      <c r="J63" s="254"/>
      <c r="K63" s="254"/>
      <c r="L63" s="238">
        <f t="shared" si="120"/>
        <v>0</v>
      </c>
      <c r="M63" s="238"/>
      <c r="N63" s="254">
        <v>1200</v>
      </c>
      <c r="O63" s="254"/>
      <c r="P63" s="238">
        <f t="shared" si="121"/>
        <v>1200</v>
      </c>
      <c r="Q63" s="238"/>
      <c r="R63" s="254"/>
      <c r="S63" s="254"/>
      <c r="T63" s="238">
        <f t="shared" si="122"/>
        <v>1200</v>
      </c>
      <c r="U63" s="238"/>
      <c r="V63" s="254">
        <v>1400</v>
      </c>
      <c r="W63" s="254"/>
      <c r="X63" s="238">
        <f t="shared" si="123"/>
        <v>2600</v>
      </c>
      <c r="Y63" s="238"/>
      <c r="Z63" s="254">
        <v>1400</v>
      </c>
      <c r="AA63" s="254"/>
      <c r="AB63" s="238">
        <f t="shared" si="124"/>
        <v>4000</v>
      </c>
      <c r="AC63" s="238"/>
      <c r="AD63" s="254">
        <v>1400</v>
      </c>
      <c r="AE63" s="254"/>
      <c r="AF63" s="239">
        <f t="shared" si="107"/>
        <v>5400</v>
      </c>
      <c r="AG63" s="239"/>
      <c r="AH63" s="254"/>
      <c r="AI63" s="254"/>
      <c r="AJ63" s="239">
        <f t="shared" si="108"/>
        <v>5400</v>
      </c>
      <c r="AK63" s="239">
        <f>SUM(AG63+AI63-AH63)</f>
        <v>0</v>
      </c>
      <c r="AL63" s="254"/>
      <c r="AM63" s="254"/>
      <c r="AN63" s="239">
        <f t="shared" si="113"/>
        <v>5400</v>
      </c>
      <c r="AO63" s="239">
        <f>SUM(AK63+AM63-AL63)</f>
        <v>0</v>
      </c>
      <c r="AP63" s="254"/>
      <c r="AQ63" s="254"/>
      <c r="AR63" s="239">
        <f t="shared" si="114"/>
        <v>5400</v>
      </c>
      <c r="AS63" s="239">
        <f>SUM(AO63+AQ63-AP63)</f>
        <v>0</v>
      </c>
      <c r="AT63" s="254"/>
      <c r="AU63" s="254"/>
      <c r="AV63" s="239">
        <f t="shared" si="118"/>
        <v>5400</v>
      </c>
      <c r="AW63" s="239"/>
      <c r="AX63" s="254"/>
      <c r="AY63" s="254"/>
      <c r="AZ63" s="239">
        <f t="shared" ref="AZ63:AZ64" si="125">SUM(AV63+AX63-AY63)</f>
        <v>5400</v>
      </c>
      <c r="BA63" s="239"/>
      <c r="BB63" s="286"/>
    </row>
    <row r="64" spans="1:54" ht="20.100000000000001" customHeight="1" x14ac:dyDescent="0.55000000000000004">
      <c r="A64" s="246">
        <v>57</v>
      </c>
      <c r="B64" s="222" t="s">
        <v>14</v>
      </c>
      <c r="C64" s="221">
        <v>119</v>
      </c>
      <c r="D64" s="252"/>
      <c r="E64" s="254"/>
      <c r="F64" s="254"/>
      <c r="G64" s="254"/>
      <c r="H64" s="237">
        <f t="shared" si="6"/>
        <v>0</v>
      </c>
      <c r="I64" s="237">
        <f t="shared" si="23"/>
        <v>0</v>
      </c>
      <c r="J64" s="254"/>
      <c r="K64" s="254"/>
      <c r="L64" s="237">
        <f t="shared" si="120"/>
        <v>0</v>
      </c>
      <c r="M64" s="237">
        <f>SUM(I64-J64+K64)</f>
        <v>0</v>
      </c>
      <c r="N64" s="254"/>
      <c r="O64" s="254"/>
      <c r="P64" s="237">
        <f t="shared" si="121"/>
        <v>0</v>
      </c>
      <c r="Q64" s="237">
        <f>SUM(M64-N64+O64)</f>
        <v>0</v>
      </c>
      <c r="R64" s="254"/>
      <c r="S64" s="254"/>
      <c r="T64" s="237">
        <f t="shared" si="122"/>
        <v>0</v>
      </c>
      <c r="U64" s="237">
        <f>SUM(Q64-R64+S64)</f>
        <v>0</v>
      </c>
      <c r="V64" s="254"/>
      <c r="W64" s="254"/>
      <c r="X64" s="237">
        <f t="shared" si="123"/>
        <v>0</v>
      </c>
      <c r="Y64" s="237">
        <f>SUM(U64-V64+W64)</f>
        <v>0</v>
      </c>
      <c r="Z64" s="254"/>
      <c r="AA64" s="254"/>
      <c r="AB64" s="237">
        <f t="shared" si="124"/>
        <v>0</v>
      </c>
      <c r="AC64" s="237">
        <f>SUM(Y64-Z64+AA64)</f>
        <v>0</v>
      </c>
      <c r="AD64" s="254"/>
      <c r="AE64" s="254"/>
      <c r="AF64" s="239">
        <f t="shared" si="107"/>
        <v>0</v>
      </c>
      <c r="AG64" s="239"/>
      <c r="AH64" s="254"/>
      <c r="AI64" s="254"/>
      <c r="AJ64" s="239">
        <f t="shared" si="108"/>
        <v>0</v>
      </c>
      <c r="AK64" s="239"/>
      <c r="AL64" s="254"/>
      <c r="AM64" s="254"/>
      <c r="AN64" s="239">
        <f t="shared" si="113"/>
        <v>0</v>
      </c>
      <c r="AO64" s="239"/>
      <c r="AP64" s="254"/>
      <c r="AQ64" s="254"/>
      <c r="AR64" s="239">
        <f t="shared" si="114"/>
        <v>0</v>
      </c>
      <c r="AS64" s="239"/>
      <c r="AT64" s="254"/>
      <c r="AU64" s="254"/>
      <c r="AV64" s="239">
        <f t="shared" si="118"/>
        <v>0</v>
      </c>
      <c r="AW64" s="239"/>
      <c r="AX64" s="254"/>
      <c r="AY64" s="254"/>
      <c r="AZ64" s="239">
        <f t="shared" si="125"/>
        <v>0</v>
      </c>
      <c r="BA64" s="239"/>
      <c r="BB64" s="286"/>
    </row>
    <row r="65" spans="1:54" ht="20.100000000000001" customHeight="1" x14ac:dyDescent="0.55000000000000004">
      <c r="A65" s="246">
        <v>58</v>
      </c>
      <c r="B65" s="223" t="s">
        <v>261</v>
      </c>
      <c r="C65" s="221">
        <v>121</v>
      </c>
      <c r="D65" s="254"/>
      <c r="E65" s="254"/>
      <c r="F65" s="254">
        <f>223+669.02</f>
        <v>892.02</v>
      </c>
      <c r="G65" s="254"/>
      <c r="H65" s="237">
        <f t="shared" si="6"/>
        <v>892.02</v>
      </c>
      <c r="I65" s="237"/>
      <c r="J65" s="254">
        <f>290+241+559.14</f>
        <v>1090.1399999999999</v>
      </c>
      <c r="K65" s="254"/>
      <c r="L65" s="237">
        <f t="shared" si="120"/>
        <v>1982.1599999999999</v>
      </c>
      <c r="M65" s="237"/>
      <c r="N65" s="254">
        <v>507.53</v>
      </c>
      <c r="O65" s="254"/>
      <c r="P65" s="237">
        <f t="shared" si="121"/>
        <v>2489.6899999999996</v>
      </c>
      <c r="Q65" s="237"/>
      <c r="R65" s="254">
        <f>300+581.7</f>
        <v>881.7</v>
      </c>
      <c r="S65" s="254"/>
      <c r="T65" s="237">
        <f t="shared" si="122"/>
        <v>3371.3899999999994</v>
      </c>
      <c r="U65" s="237"/>
      <c r="V65" s="254">
        <v>94</v>
      </c>
      <c r="W65" s="254"/>
      <c r="X65" s="237">
        <f t="shared" si="123"/>
        <v>3465.3899999999994</v>
      </c>
      <c r="Y65" s="237"/>
      <c r="Z65" s="254">
        <f>1111.86+178</f>
        <v>1289.8599999999999</v>
      </c>
      <c r="AA65" s="254"/>
      <c r="AB65" s="237">
        <f t="shared" si="124"/>
        <v>4755.2499999999991</v>
      </c>
      <c r="AC65" s="237"/>
      <c r="AD65" s="254">
        <f>461.96+73</f>
        <v>534.96</v>
      </c>
      <c r="AE65" s="254"/>
      <c r="AF65" s="239">
        <f t="shared" si="107"/>
        <v>5290.2099999999991</v>
      </c>
      <c r="AG65" s="239"/>
      <c r="AH65" s="254">
        <v>385.45</v>
      </c>
      <c r="AI65" s="254"/>
      <c r="AJ65" s="239">
        <f t="shared" si="108"/>
        <v>5675.6599999999989</v>
      </c>
      <c r="AK65" s="239"/>
      <c r="AL65" s="254"/>
      <c r="AM65" s="254"/>
      <c r="AN65" s="239">
        <f t="shared" si="113"/>
        <v>5675.6599999999989</v>
      </c>
      <c r="AO65" s="239"/>
      <c r="AP65" s="254"/>
      <c r="AQ65" s="254"/>
      <c r="AR65" s="239">
        <f t="shared" si="114"/>
        <v>5675.6599999999989</v>
      </c>
      <c r="AS65" s="239"/>
      <c r="AT65" s="254"/>
      <c r="AU65" s="254"/>
      <c r="AV65" s="239">
        <f>SUM(AR65+AT65-AU65)</f>
        <v>5675.6599999999989</v>
      </c>
      <c r="AW65" s="239"/>
      <c r="AX65" s="254"/>
      <c r="AY65" s="254"/>
      <c r="AZ65" s="239">
        <f>SUM(AV65+AX65-AY65)</f>
        <v>5675.6599999999989</v>
      </c>
      <c r="BA65" s="239"/>
      <c r="BB65" s="286"/>
    </row>
    <row r="66" spans="1:54" ht="20.100000000000001" customHeight="1" x14ac:dyDescent="0.55000000000000004">
      <c r="A66" s="246">
        <v>59</v>
      </c>
      <c r="B66" s="248" t="s">
        <v>262</v>
      </c>
      <c r="C66" s="247">
        <v>125</v>
      </c>
      <c r="D66" s="253"/>
      <c r="E66" s="253"/>
      <c r="F66" s="253"/>
      <c r="G66" s="253"/>
      <c r="H66" s="237">
        <f t="shared" si="6"/>
        <v>0</v>
      </c>
      <c r="I66" s="237">
        <f t="shared" si="23"/>
        <v>0</v>
      </c>
      <c r="J66" s="253"/>
      <c r="K66" s="253"/>
      <c r="L66" s="240">
        <f t="shared" si="120"/>
        <v>0</v>
      </c>
      <c r="M66" s="240">
        <f>SUM(I66+J66-K66)</f>
        <v>0</v>
      </c>
      <c r="N66" s="253"/>
      <c r="O66" s="253"/>
      <c r="P66" s="240">
        <f t="shared" si="121"/>
        <v>0</v>
      </c>
      <c r="Q66" s="240">
        <f>SUM(M66+N66-O66)</f>
        <v>0</v>
      </c>
      <c r="R66" s="253"/>
      <c r="S66" s="253"/>
      <c r="T66" s="240">
        <f t="shared" si="122"/>
        <v>0</v>
      </c>
      <c r="U66" s="240">
        <f>SUM(Q66+R66-S66)</f>
        <v>0</v>
      </c>
      <c r="V66" s="253"/>
      <c r="W66" s="253"/>
      <c r="X66" s="240">
        <f t="shared" si="123"/>
        <v>0</v>
      </c>
      <c r="Y66" s="240">
        <f>SUM(U66+V66-W66)</f>
        <v>0</v>
      </c>
      <c r="Z66" s="253"/>
      <c r="AA66" s="253"/>
      <c r="AB66" s="240">
        <f t="shared" si="124"/>
        <v>0</v>
      </c>
      <c r="AC66" s="240">
        <f>SUM(Y66+Z66-AA66)</f>
        <v>0</v>
      </c>
      <c r="AD66" s="253"/>
      <c r="AE66" s="253"/>
      <c r="AF66" s="239">
        <f t="shared" si="107"/>
        <v>0</v>
      </c>
      <c r="AG66" s="239">
        <f>SUM(AC66+AE66-AD66)</f>
        <v>0</v>
      </c>
      <c r="AH66" s="253"/>
      <c r="AI66" s="253"/>
      <c r="AJ66" s="239">
        <f t="shared" si="108"/>
        <v>0</v>
      </c>
      <c r="AK66" s="239">
        <f>SUM(AG66+AI66-AH66)</f>
        <v>0</v>
      </c>
      <c r="AL66" s="253"/>
      <c r="AM66" s="253"/>
      <c r="AN66" s="239">
        <f t="shared" si="113"/>
        <v>0</v>
      </c>
      <c r="AO66" s="239">
        <f>SUM(AK66+AM66-AL66)</f>
        <v>0</v>
      </c>
      <c r="AP66" s="253"/>
      <c r="AQ66" s="253"/>
      <c r="AR66" s="239">
        <f t="shared" si="114"/>
        <v>0</v>
      </c>
      <c r="AS66" s="239">
        <f>SUM(AO66+AQ66-AP66)</f>
        <v>0</v>
      </c>
      <c r="AT66" s="253"/>
      <c r="AU66" s="253"/>
      <c r="AV66" s="239">
        <f t="shared" si="118"/>
        <v>0</v>
      </c>
      <c r="AW66" s="239">
        <f>SUM(AS66+AU66-AT66)</f>
        <v>0</v>
      </c>
      <c r="AX66" s="253"/>
      <c r="AY66" s="253"/>
      <c r="AZ66" s="239">
        <f t="shared" ref="AZ66:AZ68" si="126">SUM(AV66+AX66-AY66)</f>
        <v>0</v>
      </c>
      <c r="BA66" s="239">
        <f>SUM(AW66+AY66-AX66)</f>
        <v>0</v>
      </c>
      <c r="BB66" s="286"/>
    </row>
    <row r="67" spans="1:54" ht="20.100000000000001" customHeight="1" x14ac:dyDescent="0.55000000000000004">
      <c r="A67" s="246">
        <v>60</v>
      </c>
      <c r="B67" s="222" t="s">
        <v>73</v>
      </c>
      <c r="C67" s="221">
        <v>126</v>
      </c>
      <c r="D67" s="255"/>
      <c r="E67" s="254"/>
      <c r="F67" s="254"/>
      <c r="G67" s="254"/>
      <c r="H67" s="237">
        <f t="shared" si="6"/>
        <v>0</v>
      </c>
      <c r="I67" s="237">
        <f t="shared" si="23"/>
        <v>0</v>
      </c>
      <c r="J67" s="254"/>
      <c r="K67" s="254"/>
      <c r="L67" s="237">
        <f t="shared" si="120"/>
        <v>0</v>
      </c>
      <c r="M67" s="237"/>
      <c r="N67" s="254"/>
      <c r="O67" s="254"/>
      <c r="P67" s="237">
        <f t="shared" si="121"/>
        <v>0</v>
      </c>
      <c r="Q67" s="237"/>
      <c r="R67" s="254"/>
      <c r="S67" s="254"/>
      <c r="T67" s="237">
        <f t="shared" si="122"/>
        <v>0</v>
      </c>
      <c r="U67" s="237"/>
      <c r="V67" s="254">
        <v>6000</v>
      </c>
      <c r="W67" s="254"/>
      <c r="X67" s="237">
        <f t="shared" si="123"/>
        <v>6000</v>
      </c>
      <c r="Y67" s="237"/>
      <c r="Z67" s="254"/>
      <c r="AA67" s="254"/>
      <c r="AB67" s="237">
        <f t="shared" si="124"/>
        <v>6000</v>
      </c>
      <c r="AC67" s="237"/>
      <c r="AD67" s="254"/>
      <c r="AE67" s="254"/>
      <c r="AF67" s="239">
        <f t="shared" si="107"/>
        <v>6000</v>
      </c>
      <c r="AG67" s="239">
        <f>SUM(AC67+AE67-AD67)</f>
        <v>0</v>
      </c>
      <c r="AH67" s="254"/>
      <c r="AI67" s="254"/>
      <c r="AJ67" s="239">
        <f t="shared" si="108"/>
        <v>6000</v>
      </c>
      <c r="AK67" s="239">
        <f>SUM(AG67+AI67-AH67)</f>
        <v>0</v>
      </c>
      <c r="AL67" s="254"/>
      <c r="AM67" s="254"/>
      <c r="AN67" s="239">
        <f t="shared" si="113"/>
        <v>6000</v>
      </c>
      <c r="AO67" s="239">
        <f>SUM(AK67+AM67-AL67)</f>
        <v>0</v>
      </c>
      <c r="AP67" s="254"/>
      <c r="AQ67" s="254"/>
      <c r="AR67" s="239">
        <f t="shared" si="114"/>
        <v>6000</v>
      </c>
      <c r="AS67" s="239">
        <f>SUM(AO67+AQ67-AP67)</f>
        <v>0</v>
      </c>
      <c r="AT67" s="254"/>
      <c r="AU67" s="254"/>
      <c r="AV67" s="239">
        <f t="shared" si="118"/>
        <v>6000</v>
      </c>
      <c r="AW67" s="239">
        <f>SUM(AS67+AU67-AT67)</f>
        <v>0</v>
      </c>
      <c r="AX67" s="254"/>
      <c r="AY67" s="254"/>
      <c r="AZ67" s="239">
        <f t="shared" si="126"/>
        <v>6000</v>
      </c>
      <c r="BA67" s="239">
        <f>SUM(AW67+AY67-AX67)</f>
        <v>0</v>
      </c>
      <c r="BB67" s="286"/>
    </row>
    <row r="68" spans="1:54" ht="20.100000000000001" customHeight="1" x14ac:dyDescent="0.55000000000000004">
      <c r="A68" s="246">
        <v>61</v>
      </c>
      <c r="B68" s="222" t="s">
        <v>263</v>
      </c>
      <c r="C68" s="221">
        <v>127</v>
      </c>
      <c r="D68" s="254"/>
      <c r="E68" s="253"/>
      <c r="F68" s="254"/>
      <c r="G68" s="254"/>
      <c r="H68" s="237">
        <f t="shared" si="6"/>
        <v>0</v>
      </c>
      <c r="I68" s="237">
        <f t="shared" si="23"/>
        <v>0</v>
      </c>
      <c r="J68" s="254"/>
      <c r="K68" s="254"/>
      <c r="L68" s="237">
        <f t="shared" si="120"/>
        <v>0</v>
      </c>
      <c r="M68" s="237">
        <f>SUM(I68+J68-K68)</f>
        <v>0</v>
      </c>
      <c r="N68" s="254"/>
      <c r="O68" s="254"/>
      <c r="P68" s="237">
        <f t="shared" si="121"/>
        <v>0</v>
      </c>
      <c r="Q68" s="237">
        <f>SUM(M68+N68-O68)</f>
        <v>0</v>
      </c>
      <c r="R68" s="254"/>
      <c r="S68" s="254"/>
      <c r="T68" s="237">
        <f t="shared" si="122"/>
        <v>0</v>
      </c>
      <c r="U68" s="237">
        <f>SUM(Q68+R68-S68)</f>
        <v>0</v>
      </c>
      <c r="V68" s="254"/>
      <c r="W68" s="254"/>
      <c r="X68" s="237">
        <f t="shared" si="123"/>
        <v>0</v>
      </c>
      <c r="Y68" s="237">
        <f>SUM(U68+V68-W68)</f>
        <v>0</v>
      </c>
      <c r="Z68" s="254"/>
      <c r="AA68" s="254"/>
      <c r="AB68" s="237">
        <f t="shared" si="124"/>
        <v>0</v>
      </c>
      <c r="AC68" s="237">
        <f>SUM(Y68+Z68-AA68)</f>
        <v>0</v>
      </c>
      <c r="AD68" s="254"/>
      <c r="AE68" s="254"/>
      <c r="AF68" s="239">
        <f t="shared" si="107"/>
        <v>0</v>
      </c>
      <c r="AG68" s="239">
        <f>SUM(AC68+AE68-AD68)</f>
        <v>0</v>
      </c>
      <c r="AH68" s="254"/>
      <c r="AI68" s="254"/>
      <c r="AJ68" s="239">
        <f t="shared" si="108"/>
        <v>0</v>
      </c>
      <c r="AK68" s="239">
        <f>SUM(AG68+AI68-AH68)</f>
        <v>0</v>
      </c>
      <c r="AL68" s="254"/>
      <c r="AM68" s="254"/>
      <c r="AN68" s="239">
        <f t="shared" si="113"/>
        <v>0</v>
      </c>
      <c r="AO68" s="239">
        <f>SUM(AK68+AM68-AL68)</f>
        <v>0</v>
      </c>
      <c r="AP68" s="254"/>
      <c r="AQ68" s="254"/>
      <c r="AR68" s="239">
        <f t="shared" si="114"/>
        <v>0</v>
      </c>
      <c r="AS68" s="239">
        <f>SUM(AO68+AQ68-AP68)</f>
        <v>0</v>
      </c>
      <c r="AT68" s="254"/>
      <c r="AU68" s="254"/>
      <c r="AV68" s="239">
        <f t="shared" si="118"/>
        <v>0</v>
      </c>
      <c r="AW68" s="239">
        <f>SUM(AS68+AU68-AT68)</f>
        <v>0</v>
      </c>
      <c r="AX68" s="254"/>
      <c r="AY68" s="254"/>
      <c r="AZ68" s="239">
        <f t="shared" si="126"/>
        <v>0</v>
      </c>
      <c r="BA68" s="239">
        <f>SUM(AW68+AY68-AX68)</f>
        <v>0</v>
      </c>
      <c r="BB68" s="286"/>
    </row>
    <row r="69" spans="1:54" ht="20.100000000000001" customHeight="1" x14ac:dyDescent="0.55000000000000004">
      <c r="A69" s="246">
        <v>62</v>
      </c>
      <c r="B69" s="222" t="s">
        <v>15</v>
      </c>
      <c r="C69" s="221">
        <v>128</v>
      </c>
      <c r="D69" s="254"/>
      <c r="E69" s="255"/>
      <c r="F69" s="254">
        <v>250</v>
      </c>
      <c r="G69" s="254"/>
      <c r="H69" s="237">
        <f t="shared" si="6"/>
        <v>250</v>
      </c>
      <c r="I69" s="237"/>
      <c r="J69" s="254"/>
      <c r="K69" s="254"/>
      <c r="L69" s="237">
        <f t="shared" si="120"/>
        <v>250</v>
      </c>
      <c r="M69" s="237"/>
      <c r="N69" s="254"/>
      <c r="O69" s="254"/>
      <c r="P69" s="237">
        <f t="shared" si="121"/>
        <v>250</v>
      </c>
      <c r="Q69" s="237"/>
      <c r="R69" s="254"/>
      <c r="S69" s="254"/>
      <c r="T69" s="237">
        <f t="shared" si="122"/>
        <v>250</v>
      </c>
      <c r="U69" s="237"/>
      <c r="V69" s="254">
        <v>280</v>
      </c>
      <c r="W69" s="254"/>
      <c r="X69" s="237">
        <f t="shared" si="123"/>
        <v>530</v>
      </c>
      <c r="Y69" s="237"/>
      <c r="Z69" s="254">
        <v>165</v>
      </c>
      <c r="AA69" s="254"/>
      <c r="AB69" s="237">
        <f t="shared" si="124"/>
        <v>695</v>
      </c>
      <c r="AC69" s="237"/>
      <c r="AD69" s="254"/>
      <c r="AE69" s="254"/>
      <c r="AF69" s="239">
        <f t="shared" si="107"/>
        <v>695</v>
      </c>
      <c r="AG69" s="239"/>
      <c r="AH69" s="254"/>
      <c r="AI69" s="254"/>
      <c r="AJ69" s="239">
        <f t="shared" si="108"/>
        <v>695</v>
      </c>
      <c r="AK69" s="239"/>
      <c r="AL69" s="254"/>
      <c r="AM69" s="254"/>
      <c r="AN69" s="239">
        <f t="shared" si="113"/>
        <v>695</v>
      </c>
      <c r="AO69" s="239"/>
      <c r="AP69" s="254"/>
      <c r="AQ69" s="254"/>
      <c r="AR69" s="239">
        <f t="shared" si="114"/>
        <v>695</v>
      </c>
      <c r="AS69" s="239"/>
      <c r="AT69" s="254"/>
      <c r="AU69" s="254"/>
      <c r="AV69" s="239">
        <f>SUM(AR69+AT69-AU69)</f>
        <v>695</v>
      </c>
      <c r="AW69" s="239"/>
      <c r="AX69" s="254"/>
      <c r="AY69" s="254"/>
      <c r="AZ69" s="239">
        <f>SUM(AV69+AX69-AY69)</f>
        <v>695</v>
      </c>
      <c r="BA69" s="239"/>
      <c r="BB69" s="286"/>
    </row>
    <row r="70" spans="1:54" ht="20.100000000000001" customHeight="1" x14ac:dyDescent="0.55000000000000004">
      <c r="A70" s="246">
        <v>63</v>
      </c>
      <c r="B70" s="223" t="s">
        <v>264</v>
      </c>
      <c r="C70" s="221">
        <v>130</v>
      </c>
      <c r="D70" s="254"/>
      <c r="E70" s="252"/>
      <c r="F70" s="254">
        <v>750</v>
      </c>
      <c r="G70" s="254"/>
      <c r="H70" s="237">
        <f t="shared" si="6"/>
        <v>750</v>
      </c>
      <c r="I70" s="237"/>
      <c r="J70" s="254">
        <v>750</v>
      </c>
      <c r="K70" s="254"/>
      <c r="L70" s="237">
        <f t="shared" si="120"/>
        <v>1500</v>
      </c>
      <c r="M70" s="237"/>
      <c r="N70" s="254">
        <v>750</v>
      </c>
      <c r="O70" s="254"/>
      <c r="P70" s="237">
        <f t="shared" si="121"/>
        <v>2250</v>
      </c>
      <c r="Q70" s="237"/>
      <c r="R70" s="254">
        <v>750</v>
      </c>
      <c r="S70" s="254"/>
      <c r="T70" s="237">
        <f t="shared" si="122"/>
        <v>3000</v>
      </c>
      <c r="U70" s="237"/>
      <c r="V70" s="254">
        <v>750</v>
      </c>
      <c r="W70" s="254"/>
      <c r="X70" s="237">
        <f t="shared" si="123"/>
        <v>3750</v>
      </c>
      <c r="Y70" s="237"/>
      <c r="Z70" s="254">
        <v>1500</v>
      </c>
      <c r="AA70" s="254"/>
      <c r="AB70" s="237">
        <f t="shared" si="124"/>
        <v>5250</v>
      </c>
      <c r="AC70" s="237"/>
      <c r="AD70" s="254">
        <v>750</v>
      </c>
      <c r="AE70" s="254"/>
      <c r="AF70" s="239">
        <f t="shared" si="107"/>
        <v>6000</v>
      </c>
      <c r="AG70" s="239"/>
      <c r="AH70" s="254"/>
      <c r="AI70" s="254"/>
      <c r="AJ70" s="239">
        <f t="shared" si="108"/>
        <v>6000</v>
      </c>
      <c r="AK70" s="239"/>
      <c r="AL70" s="254"/>
      <c r="AM70" s="254"/>
      <c r="AN70" s="239">
        <f t="shared" si="113"/>
        <v>6000</v>
      </c>
      <c r="AO70" s="239"/>
      <c r="AP70" s="254"/>
      <c r="AQ70" s="254"/>
      <c r="AR70" s="239">
        <f t="shared" si="114"/>
        <v>6000</v>
      </c>
      <c r="AS70" s="239"/>
      <c r="AT70" s="254"/>
      <c r="AU70" s="254"/>
      <c r="AV70" s="239">
        <f t="shared" si="118"/>
        <v>6000</v>
      </c>
      <c r="AW70" s="239"/>
      <c r="AX70" s="254"/>
      <c r="AY70" s="254"/>
      <c r="AZ70" s="239">
        <f t="shared" ref="AZ70:AZ76" si="127">SUM(AV70+AX70-AY70)</f>
        <v>6000</v>
      </c>
      <c r="BA70" s="239"/>
      <c r="BB70" s="286"/>
    </row>
    <row r="71" spans="1:54" ht="20.100000000000001" customHeight="1" x14ac:dyDescent="0.55000000000000004">
      <c r="A71" s="246">
        <v>64</v>
      </c>
      <c r="B71" s="223" t="s">
        <v>277</v>
      </c>
      <c r="C71" s="221">
        <v>133</v>
      </c>
      <c r="D71" s="255"/>
      <c r="E71" s="252"/>
      <c r="F71" s="254"/>
      <c r="G71" s="254"/>
      <c r="H71" s="237">
        <f t="shared" si="6"/>
        <v>0</v>
      </c>
      <c r="I71" s="237">
        <f t="shared" si="23"/>
        <v>0</v>
      </c>
      <c r="J71" s="254"/>
      <c r="K71" s="254"/>
      <c r="L71" s="237">
        <f t="shared" si="120"/>
        <v>0</v>
      </c>
      <c r="M71" s="237">
        <f>SUM(I71+J71-K71)</f>
        <v>0</v>
      </c>
      <c r="N71" s="254"/>
      <c r="O71" s="254"/>
      <c r="P71" s="237">
        <f t="shared" si="121"/>
        <v>0</v>
      </c>
      <c r="Q71" s="237">
        <f>SUM(M71+N71-O71)</f>
        <v>0</v>
      </c>
      <c r="R71" s="254"/>
      <c r="S71" s="254"/>
      <c r="T71" s="237">
        <f t="shared" si="122"/>
        <v>0</v>
      </c>
      <c r="U71" s="237">
        <f>SUM(Q71+R71-S71)</f>
        <v>0</v>
      </c>
      <c r="V71" s="254">
        <v>204.6</v>
      </c>
      <c r="W71" s="254"/>
      <c r="X71" s="237">
        <f t="shared" si="123"/>
        <v>204.6</v>
      </c>
      <c r="Y71" s="237"/>
      <c r="Z71" s="254"/>
      <c r="AA71" s="254"/>
      <c r="AB71" s="237">
        <f t="shared" si="124"/>
        <v>204.6</v>
      </c>
      <c r="AC71" s="237"/>
      <c r="AD71" s="254"/>
      <c r="AE71" s="254"/>
      <c r="AF71" s="239">
        <f t="shared" si="107"/>
        <v>204.6</v>
      </c>
      <c r="AG71" s="239"/>
      <c r="AH71" s="254"/>
      <c r="AI71" s="254"/>
      <c r="AJ71" s="239">
        <f t="shared" si="108"/>
        <v>204.6</v>
      </c>
      <c r="AK71" s="239"/>
      <c r="AL71" s="254"/>
      <c r="AM71" s="254"/>
      <c r="AN71" s="239">
        <f t="shared" si="113"/>
        <v>204.6</v>
      </c>
      <c r="AO71" s="239">
        <f>SUM(AK71+AM71-AL71)</f>
        <v>0</v>
      </c>
      <c r="AP71" s="254"/>
      <c r="AQ71" s="254"/>
      <c r="AR71" s="239">
        <f t="shared" si="114"/>
        <v>204.6</v>
      </c>
      <c r="AS71" s="239">
        <f>SUM(AO71+AQ71-AP71)</f>
        <v>0</v>
      </c>
      <c r="AT71" s="254"/>
      <c r="AU71" s="254"/>
      <c r="AV71" s="239">
        <f t="shared" si="118"/>
        <v>204.6</v>
      </c>
      <c r="AW71" s="239">
        <f>SUM(AS71+AU71-AT71)</f>
        <v>0</v>
      </c>
      <c r="AX71" s="254"/>
      <c r="AY71" s="254"/>
      <c r="AZ71" s="239">
        <f t="shared" si="127"/>
        <v>204.6</v>
      </c>
      <c r="BA71" s="239">
        <f>SUM(AW71+AY71-AX71)</f>
        <v>0</v>
      </c>
      <c r="BB71" s="286"/>
    </row>
    <row r="72" spans="1:54" ht="20.100000000000001" customHeight="1" x14ac:dyDescent="0.55000000000000004">
      <c r="A72" s="246">
        <v>65</v>
      </c>
      <c r="B72" s="223" t="s">
        <v>24</v>
      </c>
      <c r="C72" s="221">
        <v>134</v>
      </c>
      <c r="D72" s="254"/>
      <c r="E72" s="254"/>
      <c r="F72" s="254"/>
      <c r="G72" s="254"/>
      <c r="H72" s="237">
        <f t="shared" si="6"/>
        <v>0</v>
      </c>
      <c r="I72" s="237">
        <f t="shared" si="23"/>
        <v>0</v>
      </c>
      <c r="J72" s="254"/>
      <c r="K72" s="254"/>
      <c r="L72" s="237">
        <f t="shared" si="120"/>
        <v>0</v>
      </c>
      <c r="M72" s="237">
        <f>SUM(I72+J72-K72)</f>
        <v>0</v>
      </c>
      <c r="N72" s="254"/>
      <c r="O72" s="254"/>
      <c r="P72" s="237">
        <f t="shared" si="121"/>
        <v>0</v>
      </c>
      <c r="Q72" s="237">
        <f>SUM(M72+N72-O72)</f>
        <v>0</v>
      </c>
      <c r="R72" s="254"/>
      <c r="S72" s="254"/>
      <c r="T72" s="237">
        <f t="shared" si="122"/>
        <v>0</v>
      </c>
      <c r="U72" s="237">
        <f>SUM(Q72+R72-S72)</f>
        <v>0</v>
      </c>
      <c r="V72" s="254"/>
      <c r="W72" s="254"/>
      <c r="X72" s="237">
        <f t="shared" si="123"/>
        <v>0</v>
      </c>
      <c r="Y72" s="237">
        <f>SUM(U72+V72-W72)</f>
        <v>0</v>
      </c>
      <c r="Z72" s="254"/>
      <c r="AA72" s="254"/>
      <c r="AB72" s="237">
        <f t="shared" si="124"/>
        <v>0</v>
      </c>
      <c r="AC72" s="237"/>
      <c r="AD72" s="254"/>
      <c r="AE72" s="254"/>
      <c r="AF72" s="239">
        <f t="shared" si="107"/>
        <v>0</v>
      </c>
      <c r="AG72" s="239"/>
      <c r="AH72" s="254"/>
      <c r="AI72" s="254"/>
      <c r="AJ72" s="239">
        <f t="shared" si="108"/>
        <v>0</v>
      </c>
      <c r="AK72" s="239"/>
      <c r="AL72" s="254"/>
      <c r="AM72" s="254"/>
      <c r="AN72" s="239">
        <f t="shared" si="113"/>
        <v>0</v>
      </c>
      <c r="AO72" s="239"/>
      <c r="AP72" s="254"/>
      <c r="AQ72" s="254"/>
      <c r="AR72" s="239">
        <f t="shared" si="114"/>
        <v>0</v>
      </c>
      <c r="AS72" s="239"/>
      <c r="AT72" s="254"/>
      <c r="AU72" s="254"/>
      <c r="AV72" s="239">
        <f t="shared" si="118"/>
        <v>0</v>
      </c>
      <c r="AW72" s="239"/>
      <c r="AX72" s="254"/>
      <c r="AY72" s="254"/>
      <c r="AZ72" s="239">
        <f t="shared" si="127"/>
        <v>0</v>
      </c>
      <c r="BA72" s="239"/>
      <c r="BB72" s="286"/>
    </row>
    <row r="73" spans="1:54" ht="20.100000000000001" customHeight="1" x14ac:dyDescent="0.55000000000000004">
      <c r="A73" s="246">
        <v>66</v>
      </c>
      <c r="B73" s="220" t="s">
        <v>16</v>
      </c>
      <c r="C73" s="221">
        <v>135</v>
      </c>
      <c r="D73" s="255"/>
      <c r="E73" s="255"/>
      <c r="F73" s="254"/>
      <c r="G73" s="254"/>
      <c r="H73" s="237">
        <f t="shared" si="6"/>
        <v>0</v>
      </c>
      <c r="I73" s="237">
        <f t="shared" si="23"/>
        <v>0</v>
      </c>
      <c r="J73" s="254"/>
      <c r="K73" s="254"/>
      <c r="L73" s="237">
        <f t="shared" si="120"/>
        <v>0</v>
      </c>
      <c r="M73" s="237">
        <v>0</v>
      </c>
      <c r="N73" s="254"/>
      <c r="O73" s="254"/>
      <c r="P73" s="237">
        <f t="shared" si="121"/>
        <v>0</v>
      </c>
      <c r="Q73" s="237">
        <v>0</v>
      </c>
      <c r="R73" s="254"/>
      <c r="S73" s="254"/>
      <c r="T73" s="237">
        <f t="shared" si="122"/>
        <v>0</v>
      </c>
      <c r="U73" s="237">
        <v>0</v>
      </c>
      <c r="V73" s="254"/>
      <c r="W73" s="254"/>
      <c r="X73" s="237">
        <f t="shared" si="123"/>
        <v>0</v>
      </c>
      <c r="Y73" s="237">
        <v>0</v>
      </c>
      <c r="Z73" s="254"/>
      <c r="AA73" s="254"/>
      <c r="AB73" s="237">
        <f t="shared" si="124"/>
        <v>0</v>
      </c>
      <c r="AC73" s="237">
        <v>0</v>
      </c>
      <c r="AD73" s="254"/>
      <c r="AE73" s="254"/>
      <c r="AF73" s="239">
        <f t="shared" si="107"/>
        <v>0</v>
      </c>
      <c r="AG73" s="239">
        <f>SUM(AC73+AE73-AD73)</f>
        <v>0</v>
      </c>
      <c r="AH73" s="254"/>
      <c r="AI73" s="254"/>
      <c r="AJ73" s="239">
        <f t="shared" si="108"/>
        <v>0</v>
      </c>
      <c r="AK73" s="239">
        <f>SUM(AG73+AI73-AH73)</f>
        <v>0</v>
      </c>
      <c r="AL73" s="254"/>
      <c r="AM73" s="254"/>
      <c r="AN73" s="239">
        <f t="shared" si="113"/>
        <v>0</v>
      </c>
      <c r="AO73" s="239">
        <f>SUM(AK73+AM73-AL73)</f>
        <v>0</v>
      </c>
      <c r="AP73" s="254"/>
      <c r="AQ73" s="254"/>
      <c r="AR73" s="239">
        <f t="shared" si="114"/>
        <v>0</v>
      </c>
      <c r="AS73" s="239">
        <f>SUM(AO73+AQ73-AP73)</f>
        <v>0</v>
      </c>
      <c r="AT73" s="254"/>
      <c r="AU73" s="254"/>
      <c r="AV73" s="239">
        <f t="shared" si="118"/>
        <v>0</v>
      </c>
      <c r="AW73" s="239">
        <f>SUM(AS73+AU73-AT73)</f>
        <v>0</v>
      </c>
      <c r="AX73" s="254"/>
      <c r="AY73" s="254"/>
      <c r="AZ73" s="239">
        <f t="shared" si="127"/>
        <v>0</v>
      </c>
      <c r="BA73" s="239">
        <f>SUM(AW73+AY73-AX73)</f>
        <v>0</v>
      </c>
      <c r="BB73" s="286"/>
    </row>
    <row r="74" spans="1:54" ht="20.100000000000001" customHeight="1" x14ac:dyDescent="0.55000000000000004">
      <c r="A74" s="246">
        <v>67</v>
      </c>
      <c r="B74" s="224" t="s">
        <v>25</v>
      </c>
      <c r="C74" s="221">
        <v>136</v>
      </c>
      <c r="D74" s="252"/>
      <c r="E74" s="252"/>
      <c r="F74" s="254">
        <v>15000</v>
      </c>
      <c r="G74" s="254"/>
      <c r="H74" s="237">
        <f t="shared" si="6"/>
        <v>15000</v>
      </c>
      <c r="I74" s="237"/>
      <c r="J74" s="254">
        <v>15000</v>
      </c>
      <c r="K74" s="254"/>
      <c r="L74" s="237">
        <f t="shared" si="120"/>
        <v>30000</v>
      </c>
      <c r="M74" s="237">
        <v>0</v>
      </c>
      <c r="N74" s="254">
        <v>15000</v>
      </c>
      <c r="O74" s="254"/>
      <c r="P74" s="237">
        <f t="shared" si="121"/>
        <v>45000</v>
      </c>
      <c r="Q74" s="237">
        <v>0</v>
      </c>
      <c r="R74" s="254">
        <v>15000</v>
      </c>
      <c r="S74" s="254"/>
      <c r="T74" s="237">
        <f t="shared" si="122"/>
        <v>60000</v>
      </c>
      <c r="U74" s="237">
        <v>0</v>
      </c>
      <c r="V74" s="254">
        <v>15000</v>
      </c>
      <c r="W74" s="254"/>
      <c r="X74" s="237">
        <f t="shared" si="123"/>
        <v>75000</v>
      </c>
      <c r="Y74" s="237">
        <v>0</v>
      </c>
      <c r="Z74" s="254">
        <v>15000</v>
      </c>
      <c r="AA74" s="254"/>
      <c r="AB74" s="237">
        <f t="shared" si="124"/>
        <v>90000</v>
      </c>
      <c r="AC74" s="237">
        <v>0</v>
      </c>
      <c r="AD74" s="254">
        <v>15000</v>
      </c>
      <c r="AE74" s="254"/>
      <c r="AF74" s="239">
        <f t="shared" si="107"/>
        <v>105000</v>
      </c>
      <c r="AG74" s="239"/>
      <c r="AH74" s="254">
        <v>15000</v>
      </c>
      <c r="AI74" s="254"/>
      <c r="AJ74" s="239">
        <f t="shared" si="108"/>
        <v>120000</v>
      </c>
      <c r="AK74" s="239"/>
      <c r="AL74" s="254"/>
      <c r="AM74" s="254"/>
      <c r="AN74" s="239">
        <f t="shared" si="113"/>
        <v>120000</v>
      </c>
      <c r="AO74" s="239"/>
      <c r="AP74" s="254"/>
      <c r="AQ74" s="254"/>
      <c r="AR74" s="239">
        <f t="shared" si="114"/>
        <v>120000</v>
      </c>
      <c r="AS74" s="239"/>
      <c r="AT74" s="254"/>
      <c r="AU74" s="254"/>
      <c r="AV74" s="239">
        <f t="shared" si="118"/>
        <v>120000</v>
      </c>
      <c r="AW74" s="239"/>
      <c r="AX74" s="254"/>
      <c r="AY74" s="254"/>
      <c r="AZ74" s="239">
        <f t="shared" si="127"/>
        <v>120000</v>
      </c>
      <c r="BA74" s="239"/>
      <c r="BB74" s="286"/>
    </row>
    <row r="75" spans="1:54" ht="20.100000000000001" customHeight="1" x14ac:dyDescent="0.55000000000000004">
      <c r="A75" s="246">
        <v>68</v>
      </c>
      <c r="B75" s="220" t="s">
        <v>151</v>
      </c>
      <c r="C75" s="221">
        <v>138</v>
      </c>
      <c r="D75" s="252"/>
      <c r="E75" s="252"/>
      <c r="F75" s="254">
        <v>500</v>
      </c>
      <c r="G75" s="254"/>
      <c r="H75" s="237">
        <f t="shared" ref="H75:H93" si="128">SUM(D75+F75-G75)</f>
        <v>500</v>
      </c>
      <c r="I75" s="237"/>
      <c r="J75" s="254"/>
      <c r="K75" s="254"/>
      <c r="L75" s="237">
        <f t="shared" si="120"/>
        <v>500</v>
      </c>
      <c r="M75" s="237">
        <v>0</v>
      </c>
      <c r="N75" s="254"/>
      <c r="O75" s="254"/>
      <c r="P75" s="237">
        <f t="shared" si="121"/>
        <v>500</v>
      </c>
      <c r="Q75" s="237">
        <v>0</v>
      </c>
      <c r="R75" s="254"/>
      <c r="S75" s="254"/>
      <c r="T75" s="237">
        <f t="shared" si="122"/>
        <v>500</v>
      </c>
      <c r="U75" s="237">
        <v>0</v>
      </c>
      <c r="V75" s="254">
        <v>500</v>
      </c>
      <c r="W75" s="254"/>
      <c r="X75" s="237">
        <f t="shared" si="123"/>
        <v>1000</v>
      </c>
      <c r="Y75" s="237">
        <v>0</v>
      </c>
      <c r="Z75" s="254"/>
      <c r="AA75" s="254"/>
      <c r="AB75" s="237">
        <f t="shared" si="124"/>
        <v>1000</v>
      </c>
      <c r="AC75" s="237">
        <v>0</v>
      </c>
      <c r="AD75" s="254">
        <v>500</v>
      </c>
      <c r="AE75" s="254"/>
      <c r="AF75" s="239">
        <f t="shared" si="107"/>
        <v>1500</v>
      </c>
      <c r="AG75" s="239"/>
      <c r="AH75" s="254"/>
      <c r="AI75" s="254"/>
      <c r="AJ75" s="239">
        <f t="shared" si="108"/>
        <v>1500</v>
      </c>
      <c r="AK75" s="239">
        <f t="shared" ref="AK75:AK94" si="129">SUM(AG75+AI75-AH75)</f>
        <v>0</v>
      </c>
      <c r="AL75" s="254"/>
      <c r="AM75" s="254"/>
      <c r="AN75" s="239">
        <f t="shared" si="113"/>
        <v>1500</v>
      </c>
      <c r="AO75" s="239">
        <f t="shared" ref="AO75:AO76" si="130">SUM(AK75+AM75-AL75)</f>
        <v>0</v>
      </c>
      <c r="AP75" s="254"/>
      <c r="AQ75" s="254"/>
      <c r="AR75" s="239">
        <f t="shared" si="114"/>
        <v>1500</v>
      </c>
      <c r="AS75" s="239">
        <f t="shared" ref="AS75:AS76" si="131">SUM(AO75+AQ75-AP75)</f>
        <v>0</v>
      </c>
      <c r="AT75" s="254"/>
      <c r="AU75" s="254"/>
      <c r="AV75" s="239">
        <f t="shared" si="118"/>
        <v>1500</v>
      </c>
      <c r="AW75" s="239"/>
      <c r="AX75" s="254"/>
      <c r="AY75" s="254"/>
      <c r="AZ75" s="239">
        <f t="shared" si="127"/>
        <v>1500</v>
      </c>
      <c r="BA75" s="239"/>
      <c r="BB75" s="286"/>
    </row>
    <row r="76" spans="1:54" ht="20.100000000000001" customHeight="1" x14ac:dyDescent="0.55000000000000004">
      <c r="A76" s="246">
        <v>69</v>
      </c>
      <c r="B76" s="223" t="s">
        <v>171</v>
      </c>
      <c r="C76" s="221">
        <v>139</v>
      </c>
      <c r="D76" s="252"/>
      <c r="E76" s="254"/>
      <c r="F76" s="254"/>
      <c r="G76" s="254"/>
      <c r="H76" s="237">
        <f t="shared" si="128"/>
        <v>0</v>
      </c>
      <c r="I76" s="237">
        <f t="shared" si="23"/>
        <v>0</v>
      </c>
      <c r="J76" s="254"/>
      <c r="K76" s="254"/>
      <c r="L76" s="237">
        <f t="shared" si="120"/>
        <v>0</v>
      </c>
      <c r="M76" s="237">
        <v>0</v>
      </c>
      <c r="N76" s="254"/>
      <c r="O76" s="254"/>
      <c r="P76" s="237">
        <f t="shared" si="121"/>
        <v>0</v>
      </c>
      <c r="Q76" s="237">
        <v>0</v>
      </c>
      <c r="R76" s="254"/>
      <c r="S76" s="254"/>
      <c r="T76" s="237">
        <f t="shared" si="122"/>
        <v>0</v>
      </c>
      <c r="U76" s="237">
        <v>0</v>
      </c>
      <c r="V76" s="254"/>
      <c r="W76" s="254"/>
      <c r="X76" s="237">
        <f t="shared" si="123"/>
        <v>0</v>
      </c>
      <c r="Y76" s="237">
        <v>0</v>
      </c>
      <c r="Z76" s="254"/>
      <c r="AA76" s="254"/>
      <c r="AB76" s="237">
        <f t="shared" si="124"/>
        <v>0</v>
      </c>
      <c r="AC76" s="237">
        <v>0</v>
      </c>
      <c r="AD76" s="254"/>
      <c r="AE76" s="254"/>
      <c r="AF76" s="239">
        <f t="shared" si="107"/>
        <v>0</v>
      </c>
      <c r="AG76" s="239">
        <f t="shared" ref="AG76:AG94" si="132">SUM(AC76+AE76-AD76)</f>
        <v>0</v>
      </c>
      <c r="AH76" s="254"/>
      <c r="AI76" s="254"/>
      <c r="AJ76" s="239">
        <f t="shared" si="108"/>
        <v>0</v>
      </c>
      <c r="AK76" s="239">
        <f t="shared" si="129"/>
        <v>0</v>
      </c>
      <c r="AL76" s="254"/>
      <c r="AM76" s="254"/>
      <c r="AN76" s="239">
        <f t="shared" si="113"/>
        <v>0</v>
      </c>
      <c r="AO76" s="239">
        <f t="shared" si="130"/>
        <v>0</v>
      </c>
      <c r="AP76" s="254"/>
      <c r="AQ76" s="254"/>
      <c r="AR76" s="239">
        <f t="shared" si="114"/>
        <v>0</v>
      </c>
      <c r="AS76" s="239">
        <f t="shared" si="131"/>
        <v>0</v>
      </c>
      <c r="AT76" s="254"/>
      <c r="AU76" s="254"/>
      <c r="AV76" s="239">
        <f t="shared" si="118"/>
        <v>0</v>
      </c>
      <c r="AW76" s="239">
        <f t="shared" ref="AW76" si="133">SUM(AS76+AU76-AT76)</f>
        <v>0</v>
      </c>
      <c r="AX76" s="254"/>
      <c r="AY76" s="254"/>
      <c r="AZ76" s="239">
        <f t="shared" si="127"/>
        <v>0</v>
      </c>
      <c r="BA76" s="239">
        <f t="shared" ref="BA76" si="134">SUM(AW76+AY76-AX76)</f>
        <v>0</v>
      </c>
      <c r="BB76" s="286"/>
    </row>
    <row r="77" spans="1:54" ht="20.100000000000001" customHeight="1" x14ac:dyDescent="0.55000000000000004">
      <c r="A77" s="246">
        <v>70</v>
      </c>
      <c r="B77" s="223" t="s">
        <v>265</v>
      </c>
      <c r="C77" s="221">
        <v>140</v>
      </c>
      <c r="D77" s="254"/>
      <c r="E77" s="255"/>
      <c r="F77" s="254">
        <v>631.29999999999995</v>
      </c>
      <c r="G77" s="254"/>
      <c r="H77" s="237">
        <f t="shared" si="128"/>
        <v>631.29999999999995</v>
      </c>
      <c r="I77" s="237"/>
      <c r="J77" s="254">
        <v>631.29999999999995</v>
      </c>
      <c r="K77" s="254"/>
      <c r="L77" s="237">
        <f t="shared" si="120"/>
        <v>1262.5999999999999</v>
      </c>
      <c r="M77" s="237">
        <v>0</v>
      </c>
      <c r="N77" s="254">
        <v>631.29999999999995</v>
      </c>
      <c r="O77" s="254"/>
      <c r="P77" s="237">
        <f t="shared" si="121"/>
        <v>1893.8999999999999</v>
      </c>
      <c r="Q77" s="237">
        <v>0</v>
      </c>
      <c r="R77" s="254">
        <v>631.29999999999995</v>
      </c>
      <c r="S77" s="254"/>
      <c r="T77" s="237">
        <f t="shared" si="122"/>
        <v>2525.1999999999998</v>
      </c>
      <c r="U77" s="237">
        <v>0</v>
      </c>
      <c r="V77" s="254"/>
      <c r="W77" s="254"/>
      <c r="X77" s="237">
        <f t="shared" si="123"/>
        <v>2525.1999999999998</v>
      </c>
      <c r="Y77" s="237">
        <v>0</v>
      </c>
      <c r="Z77" s="254">
        <f>631.3+631.3</f>
        <v>1262.5999999999999</v>
      </c>
      <c r="AA77" s="254"/>
      <c r="AB77" s="237">
        <f t="shared" si="124"/>
        <v>3787.7999999999997</v>
      </c>
      <c r="AC77" s="237">
        <v>0</v>
      </c>
      <c r="AD77" s="254">
        <v>631.29999999999995</v>
      </c>
      <c r="AE77" s="254"/>
      <c r="AF77" s="239">
        <f t="shared" si="107"/>
        <v>4419.0999999999995</v>
      </c>
      <c r="AG77" s="239"/>
      <c r="AH77" s="254">
        <v>631.29999999999995</v>
      </c>
      <c r="AI77" s="254"/>
      <c r="AJ77" s="239">
        <f t="shared" si="108"/>
        <v>5050.3999999999996</v>
      </c>
      <c r="AK77" s="239"/>
      <c r="AL77" s="254"/>
      <c r="AM77" s="254"/>
      <c r="AN77" s="239">
        <f t="shared" si="113"/>
        <v>5050.3999999999996</v>
      </c>
      <c r="AO77" s="239"/>
      <c r="AP77" s="254"/>
      <c r="AQ77" s="254"/>
      <c r="AR77" s="239">
        <f t="shared" si="114"/>
        <v>5050.3999999999996</v>
      </c>
      <c r="AS77" s="239"/>
      <c r="AT77" s="254"/>
      <c r="AU77" s="254"/>
      <c r="AV77" s="239">
        <f>SUM(AR77+AT77-AU77)</f>
        <v>5050.3999999999996</v>
      </c>
      <c r="AW77" s="239"/>
      <c r="AX77" s="254"/>
      <c r="AY77" s="254"/>
      <c r="AZ77" s="239">
        <f>SUM(AV77+AX77-AY77)</f>
        <v>5050.3999999999996</v>
      </c>
      <c r="BA77" s="239"/>
      <c r="BB77" s="286"/>
    </row>
    <row r="78" spans="1:54" ht="20.100000000000001" customHeight="1" x14ac:dyDescent="0.55000000000000004">
      <c r="A78" s="246">
        <v>71</v>
      </c>
      <c r="B78" s="220" t="s">
        <v>266</v>
      </c>
      <c r="C78" s="221">
        <v>142</v>
      </c>
      <c r="D78" s="255"/>
      <c r="E78" s="254"/>
      <c r="F78" s="254"/>
      <c r="G78" s="254"/>
      <c r="H78" s="237">
        <f t="shared" si="128"/>
        <v>0</v>
      </c>
      <c r="I78" s="237">
        <f t="shared" si="23"/>
        <v>0</v>
      </c>
      <c r="J78" s="254"/>
      <c r="K78" s="254"/>
      <c r="L78" s="237">
        <f t="shared" si="120"/>
        <v>0</v>
      </c>
      <c r="M78" s="237">
        <f>SUM(I78-J78+K78)</f>
        <v>0</v>
      </c>
      <c r="N78" s="254"/>
      <c r="O78" s="254"/>
      <c r="P78" s="237">
        <f t="shared" si="121"/>
        <v>0</v>
      </c>
      <c r="Q78" s="237">
        <f>SUM(M78-N78+O78)</f>
        <v>0</v>
      </c>
      <c r="R78" s="254"/>
      <c r="S78" s="254"/>
      <c r="T78" s="237">
        <f t="shared" si="122"/>
        <v>0</v>
      </c>
      <c r="U78" s="237">
        <f>SUM(Q78-R78+S78)</f>
        <v>0</v>
      </c>
      <c r="V78" s="254"/>
      <c r="W78" s="254"/>
      <c r="X78" s="237">
        <f t="shared" si="123"/>
        <v>0</v>
      </c>
      <c r="Y78" s="237">
        <f>SUM(U78-V78+W78)</f>
        <v>0</v>
      </c>
      <c r="Z78" s="254"/>
      <c r="AA78" s="254"/>
      <c r="AB78" s="237">
        <f t="shared" si="124"/>
        <v>0</v>
      </c>
      <c r="AC78" s="237">
        <f>SUM(Y78-Z78+AA78)</f>
        <v>0</v>
      </c>
      <c r="AD78" s="254"/>
      <c r="AE78" s="254"/>
      <c r="AF78" s="239">
        <f t="shared" si="107"/>
        <v>0</v>
      </c>
      <c r="AG78" s="239">
        <f t="shared" si="132"/>
        <v>0</v>
      </c>
      <c r="AH78" s="254"/>
      <c r="AI78" s="254"/>
      <c r="AJ78" s="239">
        <f t="shared" si="108"/>
        <v>0</v>
      </c>
      <c r="AK78" s="239">
        <f t="shared" si="129"/>
        <v>0</v>
      </c>
      <c r="AL78" s="254"/>
      <c r="AM78" s="254"/>
      <c r="AN78" s="239">
        <f t="shared" si="113"/>
        <v>0</v>
      </c>
      <c r="AO78" s="239">
        <f t="shared" ref="AO78" si="135">SUM(AK78+AM78-AL78)</f>
        <v>0</v>
      </c>
      <c r="AP78" s="254"/>
      <c r="AQ78" s="254"/>
      <c r="AR78" s="239">
        <f t="shared" si="114"/>
        <v>0</v>
      </c>
      <c r="AS78" s="239">
        <f t="shared" ref="AS78" si="136">SUM(AO78+AQ78-AP78)</f>
        <v>0</v>
      </c>
      <c r="AT78" s="254"/>
      <c r="AU78" s="254"/>
      <c r="AV78" s="239">
        <f t="shared" si="118"/>
        <v>0</v>
      </c>
      <c r="AW78" s="239">
        <f t="shared" ref="AW78" si="137">SUM(AS78+AU78-AT78)</f>
        <v>0</v>
      </c>
      <c r="AX78" s="254"/>
      <c r="AY78" s="254"/>
      <c r="AZ78" s="239">
        <f t="shared" ref="AZ78:AZ80" si="138">SUM(AV78+AX78-AY78)</f>
        <v>0</v>
      </c>
      <c r="BA78" s="239">
        <f t="shared" ref="BA78" si="139">SUM(AW78+AY78-AX78)</f>
        <v>0</v>
      </c>
      <c r="BB78" s="286"/>
    </row>
    <row r="79" spans="1:54" ht="20.100000000000001" customHeight="1" x14ac:dyDescent="0.55000000000000004">
      <c r="A79" s="246">
        <v>72</v>
      </c>
      <c r="B79" s="222" t="s">
        <v>245</v>
      </c>
      <c r="C79" s="221">
        <v>143</v>
      </c>
      <c r="D79" s="254"/>
      <c r="E79" s="252"/>
      <c r="F79" s="255"/>
      <c r="G79" s="254"/>
      <c r="H79" s="237">
        <f t="shared" si="128"/>
        <v>0</v>
      </c>
      <c r="I79" s="237">
        <f t="shared" si="23"/>
        <v>0</v>
      </c>
      <c r="J79" s="255"/>
      <c r="K79" s="254"/>
      <c r="L79" s="237">
        <f t="shared" si="120"/>
        <v>0</v>
      </c>
      <c r="M79" s="237">
        <v>0</v>
      </c>
      <c r="N79" s="255"/>
      <c r="O79" s="254"/>
      <c r="P79" s="237">
        <f t="shared" si="121"/>
        <v>0</v>
      </c>
      <c r="Q79" s="237">
        <v>0</v>
      </c>
      <c r="R79" s="255"/>
      <c r="S79" s="254"/>
      <c r="T79" s="237">
        <f t="shared" si="122"/>
        <v>0</v>
      </c>
      <c r="U79" s="237">
        <v>0</v>
      </c>
      <c r="V79" s="255"/>
      <c r="W79" s="254"/>
      <c r="X79" s="237">
        <f t="shared" si="123"/>
        <v>0</v>
      </c>
      <c r="Y79" s="237">
        <v>0</v>
      </c>
      <c r="Z79" s="255"/>
      <c r="AA79" s="254"/>
      <c r="AB79" s="237">
        <f t="shared" si="124"/>
        <v>0</v>
      </c>
      <c r="AC79" s="237">
        <v>0</v>
      </c>
      <c r="AD79" s="255"/>
      <c r="AE79" s="254"/>
      <c r="AF79" s="239">
        <f t="shared" si="107"/>
        <v>0</v>
      </c>
      <c r="AG79" s="239">
        <f t="shared" si="132"/>
        <v>0</v>
      </c>
      <c r="AH79" s="255"/>
      <c r="AI79" s="254"/>
      <c r="AJ79" s="239">
        <f t="shared" si="108"/>
        <v>0</v>
      </c>
      <c r="AK79" s="239"/>
      <c r="AL79" s="255"/>
      <c r="AM79" s="254"/>
      <c r="AN79" s="239">
        <f t="shared" si="113"/>
        <v>0</v>
      </c>
      <c r="AO79" s="239"/>
      <c r="AP79" s="255"/>
      <c r="AQ79" s="254"/>
      <c r="AR79" s="239">
        <f t="shared" si="114"/>
        <v>0</v>
      </c>
      <c r="AS79" s="239"/>
      <c r="AT79" s="255"/>
      <c r="AU79" s="254"/>
      <c r="AV79" s="239">
        <f t="shared" si="118"/>
        <v>0</v>
      </c>
      <c r="AW79" s="239"/>
      <c r="AX79" s="255"/>
      <c r="AY79" s="254"/>
      <c r="AZ79" s="239">
        <f t="shared" si="138"/>
        <v>0</v>
      </c>
      <c r="BA79" s="239"/>
      <c r="BB79" s="286"/>
    </row>
    <row r="80" spans="1:54" ht="20.100000000000001" customHeight="1" x14ac:dyDescent="0.55000000000000004">
      <c r="A80" s="246">
        <v>73</v>
      </c>
      <c r="B80" s="222" t="s">
        <v>85</v>
      </c>
      <c r="C80" s="221">
        <v>144</v>
      </c>
      <c r="D80" s="255"/>
      <c r="E80" s="254"/>
      <c r="F80" s="254"/>
      <c r="G80" s="255"/>
      <c r="H80" s="237">
        <f t="shared" si="128"/>
        <v>0</v>
      </c>
      <c r="I80" s="237">
        <f t="shared" ref="I80:I94" si="140">E80+G80-F80</f>
        <v>0</v>
      </c>
      <c r="J80" s="254"/>
      <c r="K80" s="255"/>
      <c r="L80" s="237">
        <f t="shared" si="120"/>
        <v>0</v>
      </c>
      <c r="M80" s="237"/>
      <c r="N80" s="254"/>
      <c r="O80" s="255"/>
      <c r="P80" s="237">
        <f t="shared" si="121"/>
        <v>0</v>
      </c>
      <c r="Q80" s="237"/>
      <c r="R80" s="254"/>
      <c r="S80" s="255"/>
      <c r="T80" s="237">
        <f t="shared" si="122"/>
        <v>0</v>
      </c>
      <c r="U80" s="237"/>
      <c r="V80" s="254">
        <v>600</v>
      </c>
      <c r="W80" s="255"/>
      <c r="X80" s="237">
        <f t="shared" si="123"/>
        <v>600</v>
      </c>
      <c r="Y80" s="237"/>
      <c r="Z80" s="254"/>
      <c r="AA80" s="255"/>
      <c r="AB80" s="237">
        <f t="shared" si="124"/>
        <v>600</v>
      </c>
      <c r="AC80" s="237"/>
      <c r="AD80" s="254"/>
      <c r="AE80" s="255"/>
      <c r="AF80" s="239">
        <f t="shared" si="107"/>
        <v>600</v>
      </c>
      <c r="AG80" s="239">
        <f t="shared" si="132"/>
        <v>0</v>
      </c>
      <c r="AH80" s="254"/>
      <c r="AI80" s="255"/>
      <c r="AJ80" s="239">
        <f t="shared" si="108"/>
        <v>600</v>
      </c>
      <c r="AK80" s="239">
        <f t="shared" si="129"/>
        <v>0</v>
      </c>
      <c r="AL80" s="254"/>
      <c r="AM80" s="255"/>
      <c r="AN80" s="239">
        <f t="shared" si="113"/>
        <v>600</v>
      </c>
      <c r="AO80" s="239">
        <f t="shared" ref="AO80" si="141">SUM(AK80+AM80-AL80)</f>
        <v>0</v>
      </c>
      <c r="AP80" s="254"/>
      <c r="AQ80" s="255"/>
      <c r="AR80" s="239">
        <f t="shared" si="114"/>
        <v>600</v>
      </c>
      <c r="AS80" s="239">
        <f t="shared" ref="AS80" si="142">SUM(AO80+AQ80-AP80)</f>
        <v>0</v>
      </c>
      <c r="AT80" s="254"/>
      <c r="AU80" s="255"/>
      <c r="AV80" s="239">
        <f t="shared" si="118"/>
        <v>600</v>
      </c>
      <c r="AW80" s="239">
        <f t="shared" ref="AW80" si="143">SUM(AS80+AU80-AT80)</f>
        <v>0</v>
      </c>
      <c r="AX80" s="254"/>
      <c r="AY80" s="255"/>
      <c r="AZ80" s="239">
        <f t="shared" si="138"/>
        <v>600</v>
      </c>
      <c r="BA80" s="239">
        <f t="shared" ref="BA80" si="144">SUM(AW80+AY80-AX80)</f>
        <v>0</v>
      </c>
      <c r="BB80" s="286"/>
    </row>
    <row r="81" spans="1:54" ht="20.100000000000001" customHeight="1" x14ac:dyDescent="0.55000000000000004">
      <c r="A81" s="246">
        <v>74</v>
      </c>
      <c r="B81" s="222" t="s">
        <v>279</v>
      </c>
      <c r="C81" s="221">
        <v>145</v>
      </c>
      <c r="D81" s="252"/>
      <c r="E81" s="252"/>
      <c r="F81" s="255"/>
      <c r="G81" s="254"/>
      <c r="H81" s="237">
        <f t="shared" si="128"/>
        <v>0</v>
      </c>
      <c r="I81" s="237"/>
      <c r="J81" s="255"/>
      <c r="K81" s="254"/>
      <c r="L81" s="237">
        <f t="shared" si="120"/>
        <v>0</v>
      </c>
      <c r="M81" s="237">
        <v>0</v>
      </c>
      <c r="N81" s="255">
        <f>+O31+O54</f>
        <v>4610.72</v>
      </c>
      <c r="O81" s="254"/>
      <c r="P81" s="237">
        <f t="shared" si="121"/>
        <v>4610.72</v>
      </c>
      <c r="Q81" s="237">
        <v>0</v>
      </c>
      <c r="R81" s="255">
        <v>2100</v>
      </c>
      <c r="S81" s="254"/>
      <c r="T81" s="237">
        <f t="shared" si="122"/>
        <v>6710.72</v>
      </c>
      <c r="U81" s="237">
        <v>0</v>
      </c>
      <c r="V81" s="255">
        <f>W31+W54</f>
        <v>3255.3999999999996</v>
      </c>
      <c r="W81" s="254"/>
      <c r="X81" s="237">
        <f t="shared" si="123"/>
        <v>9966.119999999999</v>
      </c>
      <c r="Y81" s="237">
        <v>0</v>
      </c>
      <c r="Z81" s="255">
        <f>AA31+AA54</f>
        <v>3473.26</v>
      </c>
      <c r="AA81" s="254"/>
      <c r="AB81" s="237">
        <f t="shared" si="124"/>
        <v>13439.38</v>
      </c>
      <c r="AC81" s="237">
        <v>0</v>
      </c>
      <c r="AD81" s="255">
        <f>AE31+AE54</f>
        <v>75.209999999999994</v>
      </c>
      <c r="AE81" s="254"/>
      <c r="AF81" s="239">
        <f t="shared" si="107"/>
        <v>13514.589999999998</v>
      </c>
      <c r="AG81" s="239"/>
      <c r="AH81" s="255">
        <f>AI31+AI54</f>
        <v>32.22</v>
      </c>
      <c r="AI81" s="254"/>
      <c r="AJ81" s="239">
        <f t="shared" si="108"/>
        <v>13546.809999999998</v>
      </c>
      <c r="AK81" s="239"/>
      <c r="AL81" s="255"/>
      <c r="AM81" s="254"/>
      <c r="AN81" s="239">
        <f t="shared" si="113"/>
        <v>13546.809999999998</v>
      </c>
      <c r="AO81" s="239"/>
      <c r="AP81" s="255"/>
      <c r="AQ81" s="254"/>
      <c r="AR81" s="239">
        <f t="shared" si="114"/>
        <v>13546.809999999998</v>
      </c>
      <c r="AS81" s="239"/>
      <c r="AT81" s="255"/>
      <c r="AU81" s="254"/>
      <c r="AV81" s="239">
        <f>SUM(AR81+AT81-AU81)</f>
        <v>13546.809999999998</v>
      </c>
      <c r="AW81" s="239"/>
      <c r="AX81" s="255"/>
      <c r="AY81" s="254"/>
      <c r="AZ81" s="239">
        <f>SUM(AV81+AX81-AY81)</f>
        <v>13546.809999999998</v>
      </c>
      <c r="BA81" s="239"/>
      <c r="BB81" s="286"/>
    </row>
    <row r="82" spans="1:54" ht="20.100000000000001" customHeight="1" x14ac:dyDescent="0.55000000000000004">
      <c r="A82" s="246">
        <v>75</v>
      </c>
      <c r="B82" s="222" t="s">
        <v>267</v>
      </c>
      <c r="C82" s="221">
        <v>147</v>
      </c>
      <c r="D82" s="252"/>
      <c r="E82" s="252"/>
      <c r="F82" s="252"/>
      <c r="G82" s="253"/>
      <c r="H82" s="237">
        <f t="shared" si="128"/>
        <v>0</v>
      </c>
      <c r="I82" s="237">
        <f t="shared" si="140"/>
        <v>0</v>
      </c>
      <c r="J82" s="252"/>
      <c r="K82" s="253"/>
      <c r="L82" s="237">
        <f t="shared" si="120"/>
        <v>0</v>
      </c>
      <c r="M82" s="237">
        <v>0</v>
      </c>
      <c r="N82" s="252"/>
      <c r="O82" s="253"/>
      <c r="P82" s="237">
        <f t="shared" si="121"/>
        <v>0</v>
      </c>
      <c r="Q82" s="237">
        <v>0</v>
      </c>
      <c r="R82" s="252"/>
      <c r="S82" s="253"/>
      <c r="T82" s="237">
        <f t="shared" si="122"/>
        <v>0</v>
      </c>
      <c r="U82" s="237">
        <v>0</v>
      </c>
      <c r="V82" s="252"/>
      <c r="W82" s="253"/>
      <c r="X82" s="237">
        <f t="shared" si="123"/>
        <v>0</v>
      </c>
      <c r="Y82" s="237">
        <v>0</v>
      </c>
      <c r="Z82" s="252"/>
      <c r="AA82" s="253"/>
      <c r="AB82" s="237">
        <f t="shared" si="124"/>
        <v>0</v>
      </c>
      <c r="AC82" s="237">
        <v>0</v>
      </c>
      <c r="AD82" s="252"/>
      <c r="AE82" s="253"/>
      <c r="AF82" s="239">
        <f t="shared" si="107"/>
        <v>0</v>
      </c>
      <c r="AG82" s="239">
        <f t="shared" si="132"/>
        <v>0</v>
      </c>
      <c r="AH82" s="252"/>
      <c r="AI82" s="253"/>
      <c r="AJ82" s="239">
        <f t="shared" si="108"/>
        <v>0</v>
      </c>
      <c r="AK82" s="239">
        <f t="shared" si="129"/>
        <v>0</v>
      </c>
      <c r="AL82" s="252"/>
      <c r="AM82" s="253"/>
      <c r="AN82" s="239">
        <f t="shared" si="113"/>
        <v>0</v>
      </c>
      <c r="AO82" s="239">
        <f t="shared" ref="AO82:AO94" si="145">SUM(AK82+AM82-AL82)</f>
        <v>0</v>
      </c>
      <c r="AP82" s="252"/>
      <c r="AQ82" s="253"/>
      <c r="AR82" s="239">
        <f t="shared" si="114"/>
        <v>0</v>
      </c>
      <c r="AS82" s="239">
        <f t="shared" ref="AS82:AS94" si="146">SUM(AO82+AQ82-AP82)</f>
        <v>0</v>
      </c>
      <c r="AT82" s="252"/>
      <c r="AU82" s="253"/>
      <c r="AV82" s="239">
        <f t="shared" si="118"/>
        <v>0</v>
      </c>
      <c r="AW82" s="239">
        <f t="shared" ref="AW82:AW94" si="147">SUM(AS82+AU82-AT82)</f>
        <v>0</v>
      </c>
      <c r="AX82" s="252"/>
      <c r="AY82" s="253"/>
      <c r="AZ82" s="239">
        <f t="shared" ref="AZ82:AZ94" si="148">SUM(AV82+AX82-AY82)</f>
        <v>0</v>
      </c>
      <c r="BA82" s="239">
        <f t="shared" ref="BA82:BA94" si="149">SUM(AW82+AY82-AX82)</f>
        <v>0</v>
      </c>
      <c r="BB82" s="286"/>
    </row>
    <row r="83" spans="1:54" ht="20.100000000000001" customHeight="1" x14ac:dyDescent="0.55000000000000004">
      <c r="A83" s="246">
        <v>76</v>
      </c>
      <c r="B83" s="222" t="s">
        <v>278</v>
      </c>
      <c r="C83" s="221">
        <v>148</v>
      </c>
      <c r="D83" s="254"/>
      <c r="E83" s="252"/>
      <c r="F83" s="254"/>
      <c r="G83" s="255"/>
      <c r="H83" s="237">
        <f t="shared" si="128"/>
        <v>0</v>
      </c>
      <c r="I83" s="237">
        <f t="shared" si="140"/>
        <v>0</v>
      </c>
      <c r="J83" s="254"/>
      <c r="K83" s="255"/>
      <c r="L83" s="237">
        <f t="shared" si="120"/>
        <v>0</v>
      </c>
      <c r="M83" s="237"/>
      <c r="N83" s="254"/>
      <c r="O83" s="255"/>
      <c r="P83" s="237">
        <f t="shared" si="121"/>
        <v>0</v>
      </c>
      <c r="Q83" s="237"/>
      <c r="R83" s="254"/>
      <c r="S83" s="255"/>
      <c r="T83" s="237">
        <f t="shared" si="122"/>
        <v>0</v>
      </c>
      <c r="U83" s="237"/>
      <c r="V83" s="254"/>
      <c r="W83" s="255"/>
      <c r="X83" s="237">
        <f t="shared" si="123"/>
        <v>0</v>
      </c>
      <c r="Y83" s="237"/>
      <c r="Z83" s="254"/>
      <c r="AA83" s="255"/>
      <c r="AB83" s="237">
        <f t="shared" si="124"/>
        <v>0</v>
      </c>
      <c r="AC83" s="237"/>
      <c r="AD83" s="254"/>
      <c r="AE83" s="255"/>
      <c r="AF83" s="239">
        <f t="shared" si="107"/>
        <v>0</v>
      </c>
      <c r="AG83" s="239">
        <f t="shared" si="132"/>
        <v>0</v>
      </c>
      <c r="AH83" s="254"/>
      <c r="AI83" s="255"/>
      <c r="AJ83" s="239">
        <f t="shared" si="108"/>
        <v>0</v>
      </c>
      <c r="AK83" s="239">
        <f t="shared" si="129"/>
        <v>0</v>
      </c>
      <c r="AL83" s="254"/>
      <c r="AM83" s="255"/>
      <c r="AN83" s="239">
        <f t="shared" si="113"/>
        <v>0</v>
      </c>
      <c r="AO83" s="239">
        <f t="shared" si="145"/>
        <v>0</v>
      </c>
      <c r="AP83" s="254"/>
      <c r="AQ83" s="255"/>
      <c r="AR83" s="239">
        <f t="shared" si="114"/>
        <v>0</v>
      </c>
      <c r="AS83" s="239">
        <f t="shared" si="146"/>
        <v>0</v>
      </c>
      <c r="AT83" s="254"/>
      <c r="AU83" s="255"/>
      <c r="AV83" s="239">
        <f t="shared" si="118"/>
        <v>0</v>
      </c>
      <c r="AW83" s="239">
        <f t="shared" si="147"/>
        <v>0</v>
      </c>
      <c r="AX83" s="254"/>
      <c r="AY83" s="255"/>
      <c r="AZ83" s="239">
        <f t="shared" si="148"/>
        <v>0</v>
      </c>
      <c r="BA83" s="239">
        <f t="shared" si="149"/>
        <v>0</v>
      </c>
      <c r="BB83" s="286"/>
    </row>
    <row r="84" spans="1:54" ht="20.100000000000001" customHeight="1" x14ac:dyDescent="0.55000000000000004">
      <c r="A84" s="246">
        <v>77</v>
      </c>
      <c r="B84" s="223" t="s">
        <v>268</v>
      </c>
      <c r="C84" s="221">
        <v>149</v>
      </c>
      <c r="D84" s="255"/>
      <c r="E84" s="252"/>
      <c r="F84" s="252"/>
      <c r="G84" s="252"/>
      <c r="H84" s="237">
        <f t="shared" si="128"/>
        <v>0</v>
      </c>
      <c r="I84" s="237">
        <f t="shared" si="140"/>
        <v>0</v>
      </c>
      <c r="J84" s="252"/>
      <c r="K84" s="252"/>
      <c r="L84" s="237">
        <f t="shared" si="120"/>
        <v>0</v>
      </c>
      <c r="M84" s="237">
        <v>0</v>
      </c>
      <c r="N84" s="252"/>
      <c r="O84" s="252"/>
      <c r="P84" s="237">
        <f t="shared" si="121"/>
        <v>0</v>
      </c>
      <c r="Q84" s="237">
        <v>0</v>
      </c>
      <c r="R84" s="252"/>
      <c r="S84" s="252"/>
      <c r="T84" s="237">
        <f t="shared" si="122"/>
        <v>0</v>
      </c>
      <c r="U84" s="237">
        <v>0</v>
      </c>
      <c r="V84" s="252"/>
      <c r="W84" s="252"/>
      <c r="X84" s="237">
        <f t="shared" si="123"/>
        <v>0</v>
      </c>
      <c r="Y84" s="237">
        <v>0</v>
      </c>
      <c r="Z84" s="252"/>
      <c r="AA84" s="252"/>
      <c r="AB84" s="237">
        <f t="shared" si="124"/>
        <v>0</v>
      </c>
      <c r="AC84" s="237">
        <v>0</v>
      </c>
      <c r="AD84" s="252"/>
      <c r="AE84" s="252"/>
      <c r="AF84" s="239">
        <f t="shared" si="107"/>
        <v>0</v>
      </c>
      <c r="AG84" s="239">
        <f t="shared" si="132"/>
        <v>0</v>
      </c>
      <c r="AH84" s="252"/>
      <c r="AI84" s="252"/>
      <c r="AJ84" s="239">
        <f t="shared" si="108"/>
        <v>0</v>
      </c>
      <c r="AK84" s="239">
        <f t="shared" si="129"/>
        <v>0</v>
      </c>
      <c r="AL84" s="252"/>
      <c r="AM84" s="252"/>
      <c r="AN84" s="239">
        <f t="shared" si="113"/>
        <v>0</v>
      </c>
      <c r="AO84" s="239">
        <f t="shared" si="145"/>
        <v>0</v>
      </c>
      <c r="AP84" s="252"/>
      <c r="AQ84" s="252"/>
      <c r="AR84" s="239">
        <f t="shared" si="114"/>
        <v>0</v>
      </c>
      <c r="AS84" s="239">
        <f t="shared" si="146"/>
        <v>0</v>
      </c>
      <c r="AT84" s="252"/>
      <c r="AU84" s="252"/>
      <c r="AV84" s="239">
        <f t="shared" si="118"/>
        <v>0</v>
      </c>
      <c r="AW84" s="239">
        <f t="shared" si="147"/>
        <v>0</v>
      </c>
      <c r="AX84" s="252"/>
      <c r="AY84" s="252"/>
      <c r="AZ84" s="239">
        <f t="shared" si="148"/>
        <v>0</v>
      </c>
      <c r="BA84" s="239">
        <f t="shared" si="149"/>
        <v>0</v>
      </c>
      <c r="BB84" s="286"/>
    </row>
    <row r="85" spans="1:54" ht="20.100000000000001" customHeight="1" x14ac:dyDescent="0.55000000000000004">
      <c r="A85" s="246">
        <v>78</v>
      </c>
      <c r="B85" s="223" t="s">
        <v>269</v>
      </c>
      <c r="C85" s="221">
        <v>150</v>
      </c>
      <c r="D85" s="254"/>
      <c r="E85" s="254"/>
      <c r="F85" s="252"/>
      <c r="G85" s="252"/>
      <c r="H85" s="237">
        <f t="shared" si="128"/>
        <v>0</v>
      </c>
      <c r="I85" s="237">
        <f t="shared" si="140"/>
        <v>0</v>
      </c>
      <c r="J85" s="252"/>
      <c r="K85" s="252"/>
      <c r="L85" s="237">
        <f t="shared" si="120"/>
        <v>0</v>
      </c>
      <c r="M85" s="237">
        <f>SUM(I85+J85-K85)</f>
        <v>0</v>
      </c>
      <c r="N85" s="252"/>
      <c r="O85" s="252"/>
      <c r="P85" s="237">
        <f t="shared" si="121"/>
        <v>0</v>
      </c>
      <c r="Q85" s="237">
        <f>SUM(M85+N85-O85)</f>
        <v>0</v>
      </c>
      <c r="R85" s="252"/>
      <c r="S85" s="252"/>
      <c r="T85" s="237">
        <f t="shared" si="122"/>
        <v>0</v>
      </c>
      <c r="U85" s="237">
        <f>SUM(Q85+R85-S85)</f>
        <v>0</v>
      </c>
      <c r="V85" s="252"/>
      <c r="W85" s="252"/>
      <c r="X85" s="237">
        <f t="shared" si="123"/>
        <v>0</v>
      </c>
      <c r="Y85" s="237">
        <f>SUM(U85+V85-W85)</f>
        <v>0</v>
      </c>
      <c r="Z85" s="252"/>
      <c r="AA85" s="252"/>
      <c r="AB85" s="237">
        <f t="shared" si="124"/>
        <v>0</v>
      </c>
      <c r="AC85" s="237">
        <f>SUM(Y85+Z85-AA85)</f>
        <v>0</v>
      </c>
      <c r="AD85" s="252"/>
      <c r="AE85" s="252"/>
      <c r="AF85" s="239">
        <f t="shared" si="107"/>
        <v>0</v>
      </c>
      <c r="AG85" s="239">
        <f t="shared" si="132"/>
        <v>0</v>
      </c>
      <c r="AH85" s="252"/>
      <c r="AI85" s="252"/>
      <c r="AJ85" s="239">
        <f t="shared" si="108"/>
        <v>0</v>
      </c>
      <c r="AK85" s="239">
        <f t="shared" si="129"/>
        <v>0</v>
      </c>
      <c r="AL85" s="252"/>
      <c r="AM85" s="252"/>
      <c r="AN85" s="239">
        <f t="shared" si="113"/>
        <v>0</v>
      </c>
      <c r="AO85" s="239">
        <f t="shared" si="145"/>
        <v>0</v>
      </c>
      <c r="AP85" s="252"/>
      <c r="AQ85" s="252"/>
      <c r="AR85" s="239">
        <f t="shared" si="114"/>
        <v>0</v>
      </c>
      <c r="AS85" s="239">
        <f t="shared" si="146"/>
        <v>0</v>
      </c>
      <c r="AT85" s="252"/>
      <c r="AU85" s="252"/>
      <c r="AV85" s="239">
        <f t="shared" si="118"/>
        <v>0</v>
      </c>
      <c r="AW85" s="239">
        <f t="shared" si="147"/>
        <v>0</v>
      </c>
      <c r="AX85" s="252"/>
      <c r="AY85" s="252"/>
      <c r="AZ85" s="239">
        <f t="shared" si="148"/>
        <v>0</v>
      </c>
      <c r="BA85" s="239">
        <f t="shared" si="149"/>
        <v>0</v>
      </c>
      <c r="BB85" s="286"/>
    </row>
    <row r="86" spans="1:54" ht="20.100000000000001" customHeight="1" x14ac:dyDescent="0.55000000000000004">
      <c r="A86" s="246">
        <v>79</v>
      </c>
      <c r="B86" s="220" t="s">
        <v>270</v>
      </c>
      <c r="C86" s="221">
        <v>151</v>
      </c>
      <c r="D86" s="255"/>
      <c r="E86" s="252"/>
      <c r="F86" s="252"/>
      <c r="G86" s="252"/>
      <c r="H86" s="237">
        <f t="shared" si="128"/>
        <v>0</v>
      </c>
      <c r="I86" s="237">
        <f t="shared" si="140"/>
        <v>0</v>
      </c>
      <c r="J86" s="252"/>
      <c r="K86" s="252"/>
      <c r="L86" s="237">
        <f t="shared" si="120"/>
        <v>0</v>
      </c>
      <c r="M86" s="237">
        <f>SUM(I86+J86-K86)</f>
        <v>0</v>
      </c>
      <c r="N86" s="252"/>
      <c r="O86" s="252"/>
      <c r="P86" s="237">
        <f t="shared" si="121"/>
        <v>0</v>
      </c>
      <c r="Q86" s="237">
        <f>SUM(M86+N86-O86)</f>
        <v>0</v>
      </c>
      <c r="R86" s="252"/>
      <c r="S86" s="252"/>
      <c r="T86" s="237">
        <f t="shared" si="122"/>
        <v>0</v>
      </c>
      <c r="U86" s="237">
        <f>SUM(Q86+R86-S86)</f>
        <v>0</v>
      </c>
      <c r="V86" s="252"/>
      <c r="W86" s="252"/>
      <c r="X86" s="237">
        <f t="shared" si="123"/>
        <v>0</v>
      </c>
      <c r="Y86" s="237">
        <f>SUM(U86+V86-W86)</f>
        <v>0</v>
      </c>
      <c r="Z86" s="252"/>
      <c r="AA86" s="252"/>
      <c r="AB86" s="237">
        <f t="shared" si="124"/>
        <v>0</v>
      </c>
      <c r="AC86" s="237">
        <f>SUM(Y86+Z86-AA86)</f>
        <v>0</v>
      </c>
      <c r="AD86" s="252"/>
      <c r="AE86" s="252"/>
      <c r="AF86" s="239">
        <f t="shared" si="107"/>
        <v>0</v>
      </c>
      <c r="AG86" s="239">
        <f t="shared" si="132"/>
        <v>0</v>
      </c>
      <c r="AH86" s="252"/>
      <c r="AI86" s="252"/>
      <c r="AJ86" s="239">
        <f t="shared" si="108"/>
        <v>0</v>
      </c>
      <c r="AK86" s="239">
        <f t="shared" si="129"/>
        <v>0</v>
      </c>
      <c r="AL86" s="252"/>
      <c r="AM86" s="252"/>
      <c r="AN86" s="239">
        <f t="shared" si="113"/>
        <v>0</v>
      </c>
      <c r="AO86" s="239">
        <f t="shared" si="145"/>
        <v>0</v>
      </c>
      <c r="AP86" s="252"/>
      <c r="AQ86" s="252"/>
      <c r="AR86" s="239">
        <f t="shared" si="114"/>
        <v>0</v>
      </c>
      <c r="AS86" s="239">
        <f t="shared" si="146"/>
        <v>0</v>
      </c>
      <c r="AT86" s="252"/>
      <c r="AU86" s="252"/>
      <c r="AV86" s="239">
        <f t="shared" si="118"/>
        <v>0</v>
      </c>
      <c r="AW86" s="239">
        <f t="shared" si="147"/>
        <v>0</v>
      </c>
      <c r="AX86" s="252"/>
      <c r="AY86" s="252"/>
      <c r="AZ86" s="239">
        <f t="shared" si="148"/>
        <v>0</v>
      </c>
      <c r="BA86" s="239">
        <f t="shared" si="149"/>
        <v>0</v>
      </c>
      <c r="BB86" s="286"/>
    </row>
    <row r="87" spans="1:54" ht="20.100000000000001" customHeight="1" x14ac:dyDescent="0.55000000000000004">
      <c r="A87" s="246">
        <v>80</v>
      </c>
      <c r="B87" s="222" t="s">
        <v>271</v>
      </c>
      <c r="C87" s="221">
        <v>152</v>
      </c>
      <c r="D87" s="252"/>
      <c r="E87" s="254"/>
      <c r="F87" s="254"/>
      <c r="G87" s="254"/>
      <c r="H87" s="237">
        <f t="shared" si="128"/>
        <v>0</v>
      </c>
      <c r="I87" s="237">
        <f t="shared" si="140"/>
        <v>0</v>
      </c>
      <c r="J87" s="254"/>
      <c r="K87" s="254"/>
      <c r="L87" s="237">
        <v>0</v>
      </c>
      <c r="M87" s="237">
        <f>+I87-J87+K87</f>
        <v>0</v>
      </c>
      <c r="N87" s="254"/>
      <c r="O87" s="254"/>
      <c r="P87" s="237">
        <v>0</v>
      </c>
      <c r="Q87" s="237">
        <f>+M87-N87+O87</f>
        <v>0</v>
      </c>
      <c r="R87" s="254"/>
      <c r="S87" s="254"/>
      <c r="T87" s="237">
        <v>0</v>
      </c>
      <c r="U87" s="237">
        <f>+Q87-R87+S87</f>
        <v>0</v>
      </c>
      <c r="V87" s="254"/>
      <c r="W87" s="254"/>
      <c r="X87" s="237">
        <v>0</v>
      </c>
      <c r="Y87" s="237">
        <f>+U87-V87+W87</f>
        <v>0</v>
      </c>
      <c r="Z87" s="254"/>
      <c r="AA87" s="254"/>
      <c r="AB87" s="237">
        <v>0</v>
      </c>
      <c r="AC87" s="237">
        <f>+Y87-Z87+AA87</f>
        <v>0</v>
      </c>
      <c r="AD87" s="254"/>
      <c r="AE87" s="254"/>
      <c r="AF87" s="239">
        <f t="shared" si="107"/>
        <v>0</v>
      </c>
      <c r="AG87" s="239">
        <f t="shared" si="132"/>
        <v>0</v>
      </c>
      <c r="AH87" s="254"/>
      <c r="AI87" s="254"/>
      <c r="AJ87" s="239">
        <f t="shared" si="108"/>
        <v>0</v>
      </c>
      <c r="AK87" s="239">
        <f t="shared" si="129"/>
        <v>0</v>
      </c>
      <c r="AL87" s="254"/>
      <c r="AM87" s="254"/>
      <c r="AN87" s="239">
        <f t="shared" si="113"/>
        <v>0</v>
      </c>
      <c r="AO87" s="239">
        <f t="shared" si="145"/>
        <v>0</v>
      </c>
      <c r="AP87" s="254"/>
      <c r="AQ87" s="254"/>
      <c r="AR87" s="239">
        <f t="shared" si="114"/>
        <v>0</v>
      </c>
      <c r="AS87" s="239">
        <f t="shared" si="146"/>
        <v>0</v>
      </c>
      <c r="AT87" s="254"/>
      <c r="AU87" s="254"/>
      <c r="AV87" s="239">
        <f t="shared" si="118"/>
        <v>0</v>
      </c>
      <c r="AW87" s="239">
        <f t="shared" si="147"/>
        <v>0</v>
      </c>
      <c r="AX87" s="254"/>
      <c r="AY87" s="254"/>
      <c r="AZ87" s="239">
        <f t="shared" si="148"/>
        <v>0</v>
      </c>
      <c r="BA87" s="239">
        <f t="shared" si="149"/>
        <v>0</v>
      </c>
      <c r="BB87" s="286"/>
    </row>
    <row r="88" spans="1:54" ht="20.100000000000001" customHeight="1" x14ac:dyDescent="0.55000000000000004">
      <c r="A88" s="246">
        <v>81</v>
      </c>
      <c r="B88" s="223" t="s">
        <v>272</v>
      </c>
      <c r="C88" s="221">
        <v>153</v>
      </c>
      <c r="D88" s="252"/>
      <c r="E88" s="252"/>
      <c r="F88" s="255"/>
      <c r="G88" s="255"/>
      <c r="H88" s="237">
        <f t="shared" si="128"/>
        <v>0</v>
      </c>
      <c r="I88" s="237">
        <f t="shared" si="140"/>
        <v>0</v>
      </c>
      <c r="J88" s="255"/>
      <c r="K88" s="255"/>
      <c r="L88" s="237">
        <f t="shared" ref="L88:L93" si="150">SUM(H88+J88-K88)</f>
        <v>0</v>
      </c>
      <c r="M88" s="237">
        <f>SUM(I88-J88+K88)</f>
        <v>0</v>
      </c>
      <c r="N88" s="255"/>
      <c r="O88" s="255"/>
      <c r="P88" s="237">
        <f t="shared" ref="P88:P93" si="151">SUM(L88+N88-O88)</f>
        <v>0</v>
      </c>
      <c r="Q88" s="237">
        <f>SUM(M88-N88+O88)</f>
        <v>0</v>
      </c>
      <c r="R88" s="255"/>
      <c r="S88" s="255"/>
      <c r="T88" s="237">
        <f t="shared" ref="T88:T93" si="152">SUM(P88+R88-S88)</f>
        <v>0</v>
      </c>
      <c r="U88" s="237">
        <f>SUM(Q88-R88+S88)</f>
        <v>0</v>
      </c>
      <c r="V88" s="255"/>
      <c r="W88" s="255"/>
      <c r="X88" s="237">
        <f t="shared" ref="X88:X93" si="153">SUM(T88+V88-W88)</f>
        <v>0</v>
      </c>
      <c r="Y88" s="237">
        <f>SUM(U88-V88+W88)</f>
        <v>0</v>
      </c>
      <c r="Z88" s="255"/>
      <c r="AA88" s="255"/>
      <c r="AB88" s="237">
        <f t="shared" ref="AB88:AB93" si="154">SUM(X88+Z88-AA88)</f>
        <v>0</v>
      </c>
      <c r="AC88" s="237">
        <f>SUM(Y88-Z88+AA88)</f>
        <v>0</v>
      </c>
      <c r="AD88" s="255"/>
      <c r="AE88" s="255"/>
      <c r="AF88" s="239">
        <f t="shared" si="107"/>
        <v>0</v>
      </c>
      <c r="AG88" s="239">
        <f t="shared" si="132"/>
        <v>0</v>
      </c>
      <c r="AH88" s="255"/>
      <c r="AI88" s="255"/>
      <c r="AJ88" s="239">
        <f t="shared" si="108"/>
        <v>0</v>
      </c>
      <c r="AK88" s="239">
        <f t="shared" si="129"/>
        <v>0</v>
      </c>
      <c r="AL88" s="255"/>
      <c r="AM88" s="255"/>
      <c r="AN88" s="239">
        <f t="shared" si="113"/>
        <v>0</v>
      </c>
      <c r="AO88" s="239">
        <f t="shared" si="145"/>
        <v>0</v>
      </c>
      <c r="AP88" s="255"/>
      <c r="AQ88" s="255"/>
      <c r="AR88" s="239">
        <f t="shared" si="114"/>
        <v>0</v>
      </c>
      <c r="AS88" s="239">
        <f t="shared" si="146"/>
        <v>0</v>
      </c>
      <c r="AT88" s="255"/>
      <c r="AU88" s="255"/>
      <c r="AV88" s="239">
        <f t="shared" si="118"/>
        <v>0</v>
      </c>
      <c r="AW88" s="239">
        <f t="shared" si="147"/>
        <v>0</v>
      </c>
      <c r="AX88" s="255"/>
      <c r="AY88" s="255"/>
      <c r="AZ88" s="239">
        <f t="shared" si="148"/>
        <v>0</v>
      </c>
      <c r="BA88" s="239">
        <f t="shared" si="149"/>
        <v>0</v>
      </c>
      <c r="BB88" s="286"/>
    </row>
    <row r="89" spans="1:54" ht="20.100000000000001" customHeight="1" x14ac:dyDescent="0.55000000000000004">
      <c r="A89" s="246">
        <v>82</v>
      </c>
      <c r="B89" s="220" t="s">
        <v>273</v>
      </c>
      <c r="C89" s="221">
        <v>154</v>
      </c>
      <c r="D89" s="252"/>
      <c r="E89" s="252"/>
      <c r="F89" s="254"/>
      <c r="G89" s="252"/>
      <c r="H89" s="237">
        <f t="shared" si="128"/>
        <v>0</v>
      </c>
      <c r="I89" s="237">
        <f t="shared" si="140"/>
        <v>0</v>
      </c>
      <c r="J89" s="254"/>
      <c r="K89" s="252"/>
      <c r="L89" s="237">
        <f t="shared" si="150"/>
        <v>0</v>
      </c>
      <c r="M89" s="237">
        <f>SUM(I89+J89-K89)</f>
        <v>0</v>
      </c>
      <c r="N89" s="254"/>
      <c r="O89" s="252"/>
      <c r="P89" s="237">
        <f t="shared" si="151"/>
        <v>0</v>
      </c>
      <c r="Q89" s="237">
        <f>SUM(M89+N89-O89)</f>
        <v>0</v>
      </c>
      <c r="R89" s="254"/>
      <c r="S89" s="252"/>
      <c r="T89" s="237">
        <f t="shared" si="152"/>
        <v>0</v>
      </c>
      <c r="U89" s="237">
        <f>SUM(Q89+R89-S89)</f>
        <v>0</v>
      </c>
      <c r="V89" s="254"/>
      <c r="W89" s="252"/>
      <c r="X89" s="237">
        <f t="shared" si="153"/>
        <v>0</v>
      </c>
      <c r="Y89" s="237">
        <f>SUM(U89+V89-W89)</f>
        <v>0</v>
      </c>
      <c r="Z89" s="254"/>
      <c r="AA89" s="252"/>
      <c r="AB89" s="237">
        <f t="shared" si="154"/>
        <v>0</v>
      </c>
      <c r="AC89" s="237">
        <f>SUM(Y89+Z89-AA89)</f>
        <v>0</v>
      </c>
      <c r="AD89" s="254"/>
      <c r="AE89" s="252"/>
      <c r="AF89" s="239">
        <f t="shared" si="107"/>
        <v>0</v>
      </c>
      <c r="AG89" s="239">
        <f t="shared" si="132"/>
        <v>0</v>
      </c>
      <c r="AH89" s="254"/>
      <c r="AI89" s="252"/>
      <c r="AJ89" s="239">
        <f t="shared" si="108"/>
        <v>0</v>
      </c>
      <c r="AK89" s="239">
        <f t="shared" si="129"/>
        <v>0</v>
      </c>
      <c r="AL89" s="254"/>
      <c r="AM89" s="252"/>
      <c r="AN89" s="239">
        <f t="shared" si="113"/>
        <v>0</v>
      </c>
      <c r="AO89" s="239">
        <f t="shared" si="145"/>
        <v>0</v>
      </c>
      <c r="AP89" s="254"/>
      <c r="AQ89" s="252"/>
      <c r="AR89" s="239">
        <f t="shared" si="114"/>
        <v>0</v>
      </c>
      <c r="AS89" s="239">
        <f t="shared" si="146"/>
        <v>0</v>
      </c>
      <c r="AT89" s="254"/>
      <c r="AU89" s="252"/>
      <c r="AV89" s="239">
        <f t="shared" si="118"/>
        <v>0</v>
      </c>
      <c r="AW89" s="239">
        <f t="shared" si="147"/>
        <v>0</v>
      </c>
      <c r="AX89" s="254"/>
      <c r="AY89" s="252"/>
      <c r="AZ89" s="239">
        <f t="shared" si="148"/>
        <v>0</v>
      </c>
      <c r="BA89" s="239">
        <f t="shared" si="149"/>
        <v>0</v>
      </c>
      <c r="BB89" s="286"/>
    </row>
    <row r="90" spans="1:54" ht="20.100000000000001" customHeight="1" x14ac:dyDescent="0.55000000000000004">
      <c r="A90" s="246">
        <v>83</v>
      </c>
      <c r="B90" s="223" t="s">
        <v>274</v>
      </c>
      <c r="C90" s="221">
        <v>155</v>
      </c>
      <c r="D90" s="254"/>
      <c r="E90" s="254"/>
      <c r="F90" s="253"/>
      <c r="G90" s="252"/>
      <c r="H90" s="237">
        <f t="shared" si="128"/>
        <v>0</v>
      </c>
      <c r="I90" s="237">
        <f t="shared" si="140"/>
        <v>0</v>
      </c>
      <c r="J90" s="253"/>
      <c r="K90" s="252"/>
      <c r="L90" s="237">
        <f t="shared" si="150"/>
        <v>0</v>
      </c>
      <c r="M90" s="237">
        <f>SUM(I90+K90-L90)</f>
        <v>0</v>
      </c>
      <c r="N90" s="253"/>
      <c r="O90" s="252"/>
      <c r="P90" s="237">
        <f t="shared" si="151"/>
        <v>0</v>
      </c>
      <c r="Q90" s="237">
        <f>SUM(M90+O90-P90)</f>
        <v>0</v>
      </c>
      <c r="R90" s="253"/>
      <c r="S90" s="252"/>
      <c r="T90" s="237">
        <f t="shared" si="152"/>
        <v>0</v>
      </c>
      <c r="U90" s="237">
        <f>SUM(Q90+S90-T90)</f>
        <v>0</v>
      </c>
      <c r="V90" s="253"/>
      <c r="W90" s="252"/>
      <c r="X90" s="237">
        <f t="shared" si="153"/>
        <v>0</v>
      </c>
      <c r="Y90" s="237">
        <f>SUM(U90+W90-X90)</f>
        <v>0</v>
      </c>
      <c r="Z90" s="253"/>
      <c r="AA90" s="252"/>
      <c r="AB90" s="237">
        <f t="shared" si="154"/>
        <v>0</v>
      </c>
      <c r="AC90" s="237">
        <f>SUM(Y90+AA90-AB90)</f>
        <v>0</v>
      </c>
      <c r="AD90" s="253"/>
      <c r="AE90" s="252"/>
      <c r="AF90" s="239">
        <f t="shared" si="107"/>
        <v>0</v>
      </c>
      <c r="AG90" s="239">
        <f t="shared" si="132"/>
        <v>0</v>
      </c>
      <c r="AH90" s="253"/>
      <c r="AI90" s="252"/>
      <c r="AJ90" s="239">
        <f t="shared" si="108"/>
        <v>0</v>
      </c>
      <c r="AK90" s="239">
        <f t="shared" si="129"/>
        <v>0</v>
      </c>
      <c r="AL90" s="253"/>
      <c r="AM90" s="252"/>
      <c r="AN90" s="239">
        <f t="shared" si="113"/>
        <v>0</v>
      </c>
      <c r="AO90" s="239">
        <f t="shared" si="145"/>
        <v>0</v>
      </c>
      <c r="AP90" s="253"/>
      <c r="AQ90" s="252"/>
      <c r="AR90" s="239">
        <f t="shared" si="114"/>
        <v>0</v>
      </c>
      <c r="AS90" s="239">
        <f t="shared" si="146"/>
        <v>0</v>
      </c>
      <c r="AT90" s="253"/>
      <c r="AU90" s="252"/>
      <c r="AV90" s="239">
        <f t="shared" si="118"/>
        <v>0</v>
      </c>
      <c r="AW90" s="239">
        <f t="shared" si="147"/>
        <v>0</v>
      </c>
      <c r="AX90" s="253"/>
      <c r="AY90" s="252"/>
      <c r="AZ90" s="239">
        <f t="shared" si="148"/>
        <v>0</v>
      </c>
      <c r="BA90" s="239">
        <f t="shared" si="149"/>
        <v>0</v>
      </c>
      <c r="BB90" s="286"/>
    </row>
    <row r="91" spans="1:54" ht="20.100000000000001" customHeight="1" x14ac:dyDescent="0.55000000000000004">
      <c r="A91" s="246">
        <v>84</v>
      </c>
      <c r="B91" s="220" t="s">
        <v>275</v>
      </c>
      <c r="C91" s="221">
        <v>156</v>
      </c>
      <c r="D91" s="253"/>
      <c r="E91" s="255"/>
      <c r="F91" s="253"/>
      <c r="G91" s="254"/>
      <c r="H91" s="237">
        <f t="shared" si="128"/>
        <v>0</v>
      </c>
      <c r="I91" s="237">
        <f t="shared" si="140"/>
        <v>0</v>
      </c>
      <c r="J91" s="253"/>
      <c r="K91" s="254"/>
      <c r="L91" s="237">
        <f t="shared" si="150"/>
        <v>0</v>
      </c>
      <c r="M91" s="237">
        <f>SUM(I91+J91-K91)</f>
        <v>0</v>
      </c>
      <c r="N91" s="253"/>
      <c r="O91" s="254"/>
      <c r="P91" s="237">
        <f t="shared" si="151"/>
        <v>0</v>
      </c>
      <c r="Q91" s="237">
        <f>SUM(M91+N91-O91)</f>
        <v>0</v>
      </c>
      <c r="R91" s="253"/>
      <c r="S91" s="254"/>
      <c r="T91" s="237">
        <f t="shared" si="152"/>
        <v>0</v>
      </c>
      <c r="U91" s="237">
        <f>SUM(Q91+R91-S91)</f>
        <v>0</v>
      </c>
      <c r="V91" s="253"/>
      <c r="W91" s="254"/>
      <c r="X91" s="237">
        <f t="shared" si="153"/>
        <v>0</v>
      </c>
      <c r="Y91" s="237">
        <f>SUM(U91+V91-W91)</f>
        <v>0</v>
      </c>
      <c r="Z91" s="253"/>
      <c r="AA91" s="254"/>
      <c r="AB91" s="237">
        <f t="shared" si="154"/>
        <v>0</v>
      </c>
      <c r="AC91" s="237">
        <f>SUM(Y91+Z91-AA91)</f>
        <v>0</v>
      </c>
      <c r="AD91" s="253"/>
      <c r="AE91" s="254"/>
      <c r="AF91" s="239">
        <f t="shared" si="107"/>
        <v>0</v>
      </c>
      <c r="AG91" s="239">
        <f t="shared" si="132"/>
        <v>0</v>
      </c>
      <c r="AH91" s="253"/>
      <c r="AI91" s="254"/>
      <c r="AJ91" s="239">
        <f t="shared" si="108"/>
        <v>0</v>
      </c>
      <c r="AK91" s="239">
        <f t="shared" si="129"/>
        <v>0</v>
      </c>
      <c r="AL91" s="253"/>
      <c r="AM91" s="254"/>
      <c r="AN91" s="239">
        <f t="shared" si="113"/>
        <v>0</v>
      </c>
      <c r="AO91" s="239">
        <f t="shared" si="145"/>
        <v>0</v>
      </c>
      <c r="AP91" s="253"/>
      <c r="AQ91" s="254"/>
      <c r="AR91" s="239">
        <f t="shared" si="114"/>
        <v>0</v>
      </c>
      <c r="AS91" s="239">
        <f t="shared" si="146"/>
        <v>0</v>
      </c>
      <c r="AT91" s="253"/>
      <c r="AU91" s="254"/>
      <c r="AV91" s="239">
        <f t="shared" si="118"/>
        <v>0</v>
      </c>
      <c r="AW91" s="239">
        <f t="shared" si="147"/>
        <v>0</v>
      </c>
      <c r="AX91" s="253"/>
      <c r="AY91" s="254"/>
      <c r="AZ91" s="239">
        <f t="shared" si="148"/>
        <v>0</v>
      </c>
      <c r="BA91" s="239">
        <f t="shared" si="149"/>
        <v>0</v>
      </c>
      <c r="BB91" s="286"/>
    </row>
    <row r="92" spans="1:54" ht="20.100000000000001" customHeight="1" x14ac:dyDescent="0.55000000000000004">
      <c r="A92" s="246">
        <v>85</v>
      </c>
      <c r="B92" s="227" t="s">
        <v>138</v>
      </c>
      <c r="C92" s="221">
        <v>157</v>
      </c>
      <c r="D92" s="255"/>
      <c r="E92" s="252"/>
      <c r="F92" s="255"/>
      <c r="G92" s="255"/>
      <c r="H92" s="237">
        <f t="shared" si="128"/>
        <v>0</v>
      </c>
      <c r="I92" s="237">
        <f t="shared" si="140"/>
        <v>0</v>
      </c>
      <c r="J92" s="255"/>
      <c r="K92" s="255"/>
      <c r="L92" s="237">
        <f t="shared" si="150"/>
        <v>0</v>
      </c>
      <c r="M92" s="237">
        <f>SUM(I92-J92+K92)</f>
        <v>0</v>
      </c>
      <c r="N92" s="255"/>
      <c r="O92" s="255"/>
      <c r="P92" s="237">
        <f t="shared" si="151"/>
        <v>0</v>
      </c>
      <c r="Q92" s="237">
        <f>SUM(M92-N92+O92)</f>
        <v>0</v>
      </c>
      <c r="R92" s="255"/>
      <c r="S92" s="255"/>
      <c r="T92" s="237">
        <f t="shared" si="152"/>
        <v>0</v>
      </c>
      <c r="U92" s="237">
        <f>SUM(Q92-R92+S92)</f>
        <v>0</v>
      </c>
      <c r="V92" s="255"/>
      <c r="W92" s="255"/>
      <c r="X92" s="237">
        <f t="shared" si="153"/>
        <v>0</v>
      </c>
      <c r="Y92" s="237">
        <f>SUM(U92-V92+W92)</f>
        <v>0</v>
      </c>
      <c r="Z92" s="255"/>
      <c r="AA92" s="255"/>
      <c r="AB92" s="237">
        <f t="shared" si="154"/>
        <v>0</v>
      </c>
      <c r="AC92" s="237">
        <f>SUM(Y92-Z92+AA92)</f>
        <v>0</v>
      </c>
      <c r="AD92" s="255"/>
      <c r="AE92" s="255"/>
      <c r="AF92" s="239">
        <f t="shared" si="107"/>
        <v>0</v>
      </c>
      <c r="AG92" s="239">
        <f t="shared" si="132"/>
        <v>0</v>
      </c>
      <c r="AH92" s="255"/>
      <c r="AI92" s="255"/>
      <c r="AJ92" s="239">
        <f t="shared" si="108"/>
        <v>0</v>
      </c>
      <c r="AK92" s="239">
        <f t="shared" si="129"/>
        <v>0</v>
      </c>
      <c r="AL92" s="255"/>
      <c r="AM92" s="255"/>
      <c r="AN92" s="239">
        <f t="shared" si="113"/>
        <v>0</v>
      </c>
      <c r="AO92" s="239">
        <f t="shared" si="145"/>
        <v>0</v>
      </c>
      <c r="AP92" s="255"/>
      <c r="AQ92" s="255"/>
      <c r="AR92" s="239">
        <f t="shared" si="114"/>
        <v>0</v>
      </c>
      <c r="AS92" s="239">
        <f t="shared" si="146"/>
        <v>0</v>
      </c>
      <c r="AT92" s="255"/>
      <c r="AU92" s="255"/>
      <c r="AV92" s="239">
        <f t="shared" si="118"/>
        <v>0</v>
      </c>
      <c r="AW92" s="239">
        <f t="shared" si="147"/>
        <v>0</v>
      </c>
      <c r="AX92" s="255"/>
      <c r="AY92" s="255"/>
      <c r="AZ92" s="239">
        <f t="shared" si="148"/>
        <v>0</v>
      </c>
      <c r="BA92" s="239">
        <f t="shared" si="149"/>
        <v>0</v>
      </c>
      <c r="BB92" s="286"/>
    </row>
    <row r="93" spans="1:54" ht="20.100000000000001" customHeight="1" x14ac:dyDescent="0.55000000000000004">
      <c r="A93" s="246">
        <v>86</v>
      </c>
      <c r="B93" s="228" t="s">
        <v>11</v>
      </c>
      <c r="C93" s="221">
        <v>158</v>
      </c>
      <c r="D93" s="252"/>
      <c r="E93" s="252"/>
      <c r="F93" s="254"/>
      <c r="G93" s="254"/>
      <c r="H93" s="238">
        <f t="shared" si="128"/>
        <v>0</v>
      </c>
      <c r="I93" s="237">
        <f t="shared" si="140"/>
        <v>0</v>
      </c>
      <c r="J93" s="254"/>
      <c r="K93" s="254"/>
      <c r="L93" s="237">
        <f t="shared" si="150"/>
        <v>0</v>
      </c>
      <c r="M93" s="237">
        <v>0</v>
      </c>
      <c r="N93" s="254"/>
      <c r="O93" s="254"/>
      <c r="P93" s="237">
        <f t="shared" si="151"/>
        <v>0</v>
      </c>
      <c r="Q93" s="237">
        <v>0</v>
      </c>
      <c r="R93" s="254"/>
      <c r="S93" s="254"/>
      <c r="T93" s="237">
        <f t="shared" si="152"/>
        <v>0</v>
      </c>
      <c r="U93" s="237">
        <v>0</v>
      </c>
      <c r="V93" s="254"/>
      <c r="W93" s="254"/>
      <c r="X93" s="237">
        <f t="shared" si="153"/>
        <v>0</v>
      </c>
      <c r="Y93" s="237">
        <v>0</v>
      </c>
      <c r="Z93" s="254"/>
      <c r="AA93" s="254"/>
      <c r="AB93" s="237">
        <f t="shared" si="154"/>
        <v>0</v>
      </c>
      <c r="AC93" s="237">
        <v>0</v>
      </c>
      <c r="AD93" s="254"/>
      <c r="AE93" s="254"/>
      <c r="AF93" s="239">
        <f t="shared" si="107"/>
        <v>0</v>
      </c>
      <c r="AG93" s="239">
        <f t="shared" si="132"/>
        <v>0</v>
      </c>
      <c r="AH93" s="254"/>
      <c r="AI93" s="254"/>
      <c r="AJ93" s="239">
        <f t="shared" si="108"/>
        <v>0</v>
      </c>
      <c r="AK93" s="239">
        <f t="shared" si="129"/>
        <v>0</v>
      </c>
      <c r="AL93" s="254"/>
      <c r="AM93" s="254"/>
      <c r="AN93" s="239">
        <f t="shared" si="113"/>
        <v>0</v>
      </c>
      <c r="AO93" s="239">
        <f t="shared" si="145"/>
        <v>0</v>
      </c>
      <c r="AP93" s="254"/>
      <c r="AQ93" s="254"/>
      <c r="AR93" s="239">
        <f t="shared" si="114"/>
        <v>0</v>
      </c>
      <c r="AS93" s="239">
        <f t="shared" si="146"/>
        <v>0</v>
      </c>
      <c r="AT93" s="254"/>
      <c r="AU93" s="254"/>
      <c r="AV93" s="239">
        <f t="shared" si="118"/>
        <v>0</v>
      </c>
      <c r="AW93" s="239">
        <f t="shared" si="147"/>
        <v>0</v>
      </c>
      <c r="AX93" s="254"/>
      <c r="AY93" s="254"/>
      <c r="AZ93" s="239">
        <f t="shared" si="148"/>
        <v>0</v>
      </c>
      <c r="BA93" s="239">
        <f t="shared" si="149"/>
        <v>0</v>
      </c>
      <c r="BB93" s="286"/>
    </row>
    <row r="94" spans="1:54" ht="20.100000000000001" customHeight="1" x14ac:dyDescent="0.55000000000000004">
      <c r="A94" s="246">
        <v>87</v>
      </c>
      <c r="B94" s="229" t="s">
        <v>276</v>
      </c>
      <c r="C94" s="230"/>
      <c r="D94" s="280"/>
      <c r="E94" s="280"/>
      <c r="F94" s="262"/>
      <c r="G94" s="262"/>
      <c r="H94" s="245">
        <f t="shared" ref="H94" si="155">SUM(D94+F94-G94)</f>
        <v>0</v>
      </c>
      <c r="I94" s="237">
        <f t="shared" si="140"/>
        <v>0</v>
      </c>
      <c r="J94" s="262"/>
      <c r="K94" s="262"/>
      <c r="L94" s="263">
        <f t="shared" ref="L94" si="156">H94+J94-K94</f>
        <v>0</v>
      </c>
      <c r="M94" s="263"/>
      <c r="N94" s="262"/>
      <c r="O94" s="262"/>
      <c r="P94" s="263">
        <f t="shared" ref="P94" si="157">L94+N94-O94</f>
        <v>0</v>
      </c>
      <c r="Q94" s="263"/>
      <c r="R94" s="262"/>
      <c r="S94" s="262"/>
      <c r="T94" s="263">
        <f t="shared" ref="T94" si="158">P94+R94-S94</f>
        <v>0</v>
      </c>
      <c r="U94" s="263"/>
      <c r="V94" s="262"/>
      <c r="W94" s="262"/>
      <c r="X94" s="263">
        <f t="shared" ref="X94" si="159">T94+V94-W94</f>
        <v>0</v>
      </c>
      <c r="Y94" s="263"/>
      <c r="Z94" s="262"/>
      <c r="AA94" s="262"/>
      <c r="AB94" s="263">
        <f t="shared" ref="AB94" si="160">X94+Z94-AA94</f>
        <v>0</v>
      </c>
      <c r="AC94" s="263"/>
      <c r="AD94" s="262"/>
      <c r="AE94" s="262"/>
      <c r="AF94" s="239">
        <f t="shared" si="107"/>
        <v>0</v>
      </c>
      <c r="AG94" s="239">
        <f t="shared" si="132"/>
        <v>0</v>
      </c>
      <c r="AH94" s="262"/>
      <c r="AI94" s="262"/>
      <c r="AJ94" s="239">
        <f t="shared" si="108"/>
        <v>0</v>
      </c>
      <c r="AK94" s="239">
        <f t="shared" si="129"/>
        <v>0</v>
      </c>
      <c r="AL94" s="262"/>
      <c r="AM94" s="262"/>
      <c r="AN94" s="239">
        <f t="shared" si="113"/>
        <v>0</v>
      </c>
      <c r="AO94" s="239">
        <f t="shared" si="145"/>
        <v>0</v>
      </c>
      <c r="AP94" s="262"/>
      <c r="AQ94" s="262"/>
      <c r="AR94" s="239">
        <f t="shared" si="114"/>
        <v>0</v>
      </c>
      <c r="AS94" s="239">
        <f t="shared" si="146"/>
        <v>0</v>
      </c>
      <c r="AT94" s="262"/>
      <c r="AU94" s="262"/>
      <c r="AV94" s="239">
        <f t="shared" si="118"/>
        <v>0</v>
      </c>
      <c r="AW94" s="239">
        <f t="shared" si="147"/>
        <v>0</v>
      </c>
      <c r="AX94" s="262"/>
      <c r="AY94" s="262"/>
      <c r="AZ94" s="239">
        <f t="shared" si="148"/>
        <v>0</v>
      </c>
      <c r="BA94" s="239">
        <f t="shared" si="149"/>
        <v>0</v>
      </c>
      <c r="BB94" s="287"/>
    </row>
    <row r="95" spans="1:54" s="236" customFormat="1" ht="20.100000000000001" customHeight="1" x14ac:dyDescent="0.5">
      <c r="A95" s="59"/>
      <c r="B95" s="159" t="s">
        <v>192</v>
      </c>
      <c r="C95" s="58"/>
      <c r="D95" s="241">
        <f t="shared" ref="D95:AY95" si="161">SUM(D8:D94)</f>
        <v>15614204.439999999</v>
      </c>
      <c r="E95" s="241">
        <f t="shared" si="161"/>
        <v>15614204.439999999</v>
      </c>
      <c r="F95" s="241">
        <f t="shared" si="161"/>
        <v>34223.320000000007</v>
      </c>
      <c r="G95" s="241">
        <f t="shared" si="161"/>
        <v>34223.32</v>
      </c>
      <c r="H95" s="242">
        <f t="shared" si="161"/>
        <v>15614204.439999999</v>
      </c>
      <c r="I95" s="242">
        <f t="shared" si="161"/>
        <v>15614204.439999999</v>
      </c>
      <c r="J95" s="241">
        <f t="shared" si="161"/>
        <v>141171.44</v>
      </c>
      <c r="K95" s="241">
        <f t="shared" si="161"/>
        <v>141171.44</v>
      </c>
      <c r="L95" s="242">
        <f t="shared" si="161"/>
        <v>15668204.439999998</v>
      </c>
      <c r="M95" s="242">
        <f t="shared" si="161"/>
        <v>15668204.439999999</v>
      </c>
      <c r="N95" s="241">
        <f t="shared" si="161"/>
        <v>51010.270000000004</v>
      </c>
      <c r="O95" s="241">
        <f t="shared" si="161"/>
        <v>51010.270000000004</v>
      </c>
      <c r="P95" s="242">
        <f t="shared" si="161"/>
        <v>15664704.440000001</v>
      </c>
      <c r="Q95" s="242">
        <f t="shared" si="161"/>
        <v>15664704.439999999</v>
      </c>
      <c r="R95" s="241">
        <f t="shared" si="161"/>
        <v>40163</v>
      </c>
      <c r="S95" s="241">
        <f t="shared" si="161"/>
        <v>40163</v>
      </c>
      <c r="T95" s="242">
        <f t="shared" si="161"/>
        <v>15664704.440000001</v>
      </c>
      <c r="U95" s="242">
        <f t="shared" si="161"/>
        <v>15664704.439999999</v>
      </c>
      <c r="V95" s="241">
        <f t="shared" si="161"/>
        <v>68109.36</v>
      </c>
      <c r="W95" s="241">
        <f t="shared" si="161"/>
        <v>68109.360000000015</v>
      </c>
      <c r="X95" s="242">
        <f t="shared" si="161"/>
        <v>15657778.479999999</v>
      </c>
      <c r="Y95" s="242">
        <f t="shared" si="161"/>
        <v>15657778.48</v>
      </c>
      <c r="Z95" s="241">
        <f t="shared" si="161"/>
        <v>52296.479999999996</v>
      </c>
      <c r="AA95" s="241">
        <f t="shared" si="161"/>
        <v>52296.480000000003</v>
      </c>
      <c r="AB95" s="242">
        <f t="shared" si="161"/>
        <v>15658342.32</v>
      </c>
      <c r="AC95" s="242">
        <f t="shared" si="161"/>
        <v>15658342.32</v>
      </c>
      <c r="AD95" s="241">
        <f t="shared" si="161"/>
        <v>42825.18</v>
      </c>
      <c r="AE95" s="241">
        <f t="shared" si="161"/>
        <v>42825.18</v>
      </c>
      <c r="AF95" s="242">
        <f t="shared" si="161"/>
        <v>15657593.009999998</v>
      </c>
      <c r="AG95" s="242">
        <f t="shared" si="161"/>
        <v>15657593.01</v>
      </c>
      <c r="AH95" s="241">
        <f t="shared" si="161"/>
        <v>36856.37000000001</v>
      </c>
      <c r="AI95" s="241">
        <f t="shared" si="161"/>
        <v>36856.370000000003</v>
      </c>
      <c r="AJ95" s="242">
        <f t="shared" si="161"/>
        <v>15656700.409999998</v>
      </c>
      <c r="AK95" s="242">
        <f t="shared" si="161"/>
        <v>15656700.41</v>
      </c>
      <c r="AL95" s="241">
        <f t="shared" si="161"/>
        <v>0</v>
      </c>
      <c r="AM95" s="241">
        <f t="shared" si="161"/>
        <v>0</v>
      </c>
      <c r="AN95" s="242">
        <f t="shared" si="161"/>
        <v>15656700.409999998</v>
      </c>
      <c r="AO95" s="242">
        <f t="shared" si="161"/>
        <v>15656700.41</v>
      </c>
      <c r="AP95" s="241">
        <f t="shared" si="161"/>
        <v>0</v>
      </c>
      <c r="AQ95" s="241">
        <f t="shared" si="161"/>
        <v>0</v>
      </c>
      <c r="AR95" s="242">
        <f t="shared" si="161"/>
        <v>15656700.409999998</v>
      </c>
      <c r="AS95" s="242">
        <f t="shared" si="161"/>
        <v>15656700.41</v>
      </c>
      <c r="AT95" s="241">
        <f t="shared" si="161"/>
        <v>0</v>
      </c>
      <c r="AU95" s="241">
        <f t="shared" si="161"/>
        <v>0</v>
      </c>
      <c r="AV95" s="242">
        <f t="shared" si="161"/>
        <v>15656700.409999998</v>
      </c>
      <c r="AW95" s="242">
        <f t="shared" si="161"/>
        <v>15656700.41</v>
      </c>
      <c r="AX95" s="241">
        <f t="shared" si="161"/>
        <v>0</v>
      </c>
      <c r="AY95" s="241">
        <f t="shared" si="161"/>
        <v>0</v>
      </c>
      <c r="AZ95" s="242">
        <f t="shared" ref="AZ95:BA95" si="162">SUM(AZ8:AZ94)</f>
        <v>15656700.409999998</v>
      </c>
      <c r="BA95" s="242">
        <f t="shared" si="162"/>
        <v>15656700.41</v>
      </c>
      <c r="BB95" s="288"/>
    </row>
    <row r="96" spans="1:54" ht="20.100000000000001" customHeight="1" x14ac:dyDescent="0.5">
      <c r="A96" s="213"/>
      <c r="B96" s="81"/>
      <c r="C96" s="214"/>
      <c r="D96" s="129"/>
      <c r="E96" s="281"/>
      <c r="F96" s="129"/>
      <c r="G96" s="129"/>
      <c r="H96" s="264"/>
      <c r="I96" s="265"/>
      <c r="J96" s="129"/>
      <c r="K96" s="129"/>
      <c r="L96" s="264"/>
      <c r="M96" s="265"/>
      <c r="N96" s="129"/>
      <c r="O96" s="129"/>
      <c r="P96" s="264"/>
      <c r="Q96" s="265"/>
      <c r="R96" s="129"/>
      <c r="S96" s="129"/>
      <c r="T96" s="264"/>
      <c r="U96" s="265"/>
      <c r="V96" s="129"/>
      <c r="W96" s="129"/>
      <c r="X96" s="264"/>
      <c r="Y96" s="265"/>
      <c r="Z96" s="129"/>
      <c r="AA96" s="129"/>
      <c r="AB96" s="264"/>
      <c r="AC96" s="265"/>
      <c r="AD96" s="129"/>
      <c r="AE96" s="129"/>
      <c r="AF96" s="264"/>
      <c r="AG96" s="265"/>
      <c r="AH96" s="129"/>
      <c r="AI96" s="129"/>
      <c r="AJ96" s="264"/>
      <c r="AK96" s="265"/>
      <c r="AL96" s="129"/>
      <c r="AM96" s="129"/>
      <c r="AN96" s="264"/>
      <c r="AO96" s="265"/>
      <c r="AP96" s="129"/>
      <c r="AQ96" s="129"/>
      <c r="AR96" s="264"/>
      <c r="AS96" s="265"/>
      <c r="AT96" s="129"/>
      <c r="AU96" s="129"/>
      <c r="AV96" s="264"/>
      <c r="AW96" s="265"/>
      <c r="AX96" s="129"/>
      <c r="AY96" s="129"/>
      <c r="AZ96" s="264"/>
      <c r="BA96" s="265"/>
      <c r="BB96" s="289"/>
    </row>
    <row r="97" spans="4:54" ht="24" x14ac:dyDescent="0.55000000000000004">
      <c r="D97" s="234"/>
      <c r="E97" s="235">
        <f>D95-E95</f>
        <v>0</v>
      </c>
      <c r="H97" s="269"/>
      <c r="I97" s="192">
        <f>H95-I95</f>
        <v>0</v>
      </c>
      <c r="L97" s="269"/>
      <c r="M97" s="192">
        <f>L95-M95</f>
        <v>0</v>
      </c>
      <c r="P97" s="270"/>
      <c r="Q97" s="192">
        <f>P95-Q95</f>
        <v>0</v>
      </c>
      <c r="T97" s="271"/>
      <c r="U97" s="192">
        <f>T95-U95</f>
        <v>0</v>
      </c>
      <c r="X97" s="274"/>
      <c r="Y97" s="192">
        <f>X95-Y95</f>
        <v>0</v>
      </c>
      <c r="AB97" s="283"/>
      <c r="AC97" s="192">
        <f>AB95-AC95</f>
        <v>0</v>
      </c>
      <c r="AF97" s="282"/>
      <c r="AG97" s="192">
        <f>AF95-AG95</f>
        <v>0</v>
      </c>
      <c r="AJ97" s="300"/>
      <c r="AK97" s="192">
        <f>AJ95-AK95</f>
        <v>0</v>
      </c>
      <c r="AN97" s="302"/>
      <c r="AO97" s="192">
        <f>AN95-AO95</f>
        <v>0</v>
      </c>
      <c r="AR97" s="303"/>
      <c r="AS97" s="192">
        <f>AR95-AS95</f>
        <v>0</v>
      </c>
      <c r="AV97" s="304"/>
      <c r="AW97" s="192">
        <f>AV95-AW95</f>
        <v>0</v>
      </c>
      <c r="AZ97" s="305"/>
      <c r="BA97" s="192">
        <f>AZ95-BA95</f>
        <v>0</v>
      </c>
      <c r="BB97" s="192"/>
    </row>
    <row r="98" spans="4:54" x14ac:dyDescent="0.5">
      <c r="D98" s="267"/>
      <c r="E98" s="267"/>
      <c r="H98" s="87"/>
      <c r="I98" s="87"/>
      <c r="L98" s="87"/>
      <c r="M98" s="87"/>
      <c r="P98" s="87"/>
      <c r="Q98" s="87"/>
      <c r="T98" s="87"/>
      <c r="U98" s="87"/>
      <c r="X98" s="87"/>
      <c r="Y98" s="87"/>
      <c r="AB98" s="87"/>
      <c r="AC98" s="87"/>
      <c r="AF98" s="87"/>
      <c r="AG98" s="87"/>
      <c r="AJ98" s="87"/>
      <c r="AK98" s="87"/>
      <c r="AN98" s="87"/>
      <c r="AO98" s="87"/>
      <c r="AR98" s="87"/>
      <c r="AS98" s="87"/>
      <c r="AV98" s="87"/>
      <c r="AW98" s="87"/>
      <c r="AZ98" s="87"/>
      <c r="BA98" s="87"/>
      <c r="BB98" s="87"/>
    </row>
    <row r="99" spans="4:54" x14ac:dyDescent="0.5">
      <c r="D99" s="267"/>
      <c r="E99" s="267"/>
      <c r="H99" s="87"/>
      <c r="I99" s="87"/>
      <c r="L99" s="87"/>
      <c r="M99" s="87"/>
      <c r="P99" s="87"/>
      <c r="Q99" s="87"/>
      <c r="T99" s="87"/>
      <c r="U99" s="87"/>
      <c r="X99" s="87"/>
      <c r="Y99" s="87"/>
      <c r="AB99" s="87"/>
      <c r="AC99" s="87"/>
      <c r="AF99" s="87"/>
      <c r="AG99" s="87"/>
      <c r="AJ99" s="87"/>
      <c r="AK99" s="87"/>
      <c r="AN99" s="87"/>
      <c r="AO99" s="87"/>
      <c r="AR99" s="87"/>
      <c r="AS99" s="87"/>
      <c r="AV99" s="87"/>
      <c r="AW99" s="87"/>
      <c r="AZ99" s="87"/>
      <c r="BA99" s="87"/>
      <c r="BB99" s="87"/>
    </row>
    <row r="100" spans="4:54" x14ac:dyDescent="0.5">
      <c r="D100" s="267"/>
      <c r="E100" s="267"/>
      <c r="H100" s="87"/>
      <c r="I100" s="87"/>
      <c r="L100" s="87"/>
      <c r="M100" s="87"/>
      <c r="P100" s="87"/>
      <c r="Q100" s="87"/>
      <c r="T100" s="87"/>
      <c r="U100" s="87"/>
      <c r="X100" s="87"/>
      <c r="Y100" s="87"/>
      <c r="AB100" s="87"/>
      <c r="AC100" s="87"/>
      <c r="AF100" s="87"/>
      <c r="AG100" s="87"/>
      <c r="AJ100" s="87"/>
      <c r="AK100" s="87"/>
      <c r="AN100" s="87"/>
      <c r="AO100" s="87"/>
      <c r="AR100" s="87"/>
      <c r="AS100" s="87"/>
      <c r="AV100" s="87"/>
      <c r="AW100" s="87"/>
      <c r="AZ100" s="87"/>
      <c r="BA100" s="87"/>
      <c r="BB100" s="87"/>
    </row>
    <row r="101" spans="4:54" x14ac:dyDescent="0.5">
      <c r="D101" s="267"/>
      <c r="E101" s="267"/>
      <c r="H101" s="87"/>
      <c r="I101" s="87"/>
      <c r="L101" s="87"/>
      <c r="M101" s="87"/>
      <c r="P101" s="87"/>
      <c r="Q101" s="87"/>
      <c r="T101" s="87"/>
      <c r="U101" s="87"/>
      <c r="X101" s="87"/>
      <c r="Y101" s="87"/>
      <c r="AB101" s="87"/>
      <c r="AC101" s="87"/>
      <c r="AF101" s="87"/>
      <c r="AG101" s="87"/>
      <c r="AJ101" s="87"/>
      <c r="AK101" s="87"/>
      <c r="AN101" s="87"/>
      <c r="AO101" s="87"/>
      <c r="AR101" s="87"/>
      <c r="AS101" s="87"/>
      <c r="AV101" s="87"/>
      <c r="AW101" s="87"/>
      <c r="AZ101" s="87"/>
      <c r="BA101" s="87"/>
      <c r="BB101" s="87"/>
    </row>
    <row r="102" spans="4:54" x14ac:dyDescent="0.5">
      <c r="D102" s="267"/>
      <c r="E102" s="267"/>
      <c r="H102" s="87"/>
      <c r="I102" s="87"/>
      <c r="L102" s="87"/>
      <c r="M102" s="87"/>
      <c r="P102" s="87"/>
      <c r="Q102" s="87"/>
      <c r="T102" s="87"/>
      <c r="U102" s="87"/>
      <c r="X102" s="87"/>
      <c r="Y102" s="87"/>
      <c r="AB102" s="87"/>
      <c r="AC102" s="87"/>
      <c r="AF102" s="87"/>
      <c r="AG102" s="87"/>
      <c r="AJ102" s="87"/>
      <c r="AK102" s="87"/>
      <c r="AN102" s="87"/>
      <c r="AO102" s="87"/>
      <c r="AR102" s="87"/>
      <c r="AS102" s="87"/>
      <c r="AV102" s="87"/>
      <c r="AW102" s="87"/>
      <c r="AZ102" s="87"/>
      <c r="BA102" s="87"/>
      <c r="BB102" s="87"/>
    </row>
    <row r="103" spans="4:54" x14ac:dyDescent="0.5">
      <c r="D103" s="267"/>
      <c r="E103" s="267"/>
      <c r="H103" s="87"/>
      <c r="I103" s="87"/>
      <c r="L103" s="87"/>
      <c r="M103" s="87"/>
      <c r="P103" s="87"/>
      <c r="Q103" s="87"/>
      <c r="T103" s="87"/>
      <c r="U103" s="87"/>
      <c r="X103" s="87"/>
      <c r="Y103" s="87"/>
      <c r="AB103" s="87"/>
      <c r="AC103" s="87"/>
      <c r="AF103" s="87"/>
      <c r="AG103" s="87"/>
      <c r="AJ103" s="87"/>
      <c r="AK103" s="87"/>
      <c r="AN103" s="87"/>
      <c r="AO103" s="87"/>
      <c r="AR103" s="87"/>
      <c r="AS103" s="87"/>
      <c r="AV103" s="87"/>
      <c r="AW103" s="87"/>
      <c r="AZ103" s="87"/>
      <c r="BA103" s="87"/>
      <c r="BB103" s="87"/>
    </row>
    <row r="104" spans="4:54" x14ac:dyDescent="0.5">
      <c r="D104" s="267"/>
      <c r="E104" s="267"/>
      <c r="H104" s="87"/>
      <c r="I104" s="87"/>
      <c r="L104" s="87"/>
      <c r="M104" s="87"/>
      <c r="P104" s="87"/>
      <c r="Q104" s="87"/>
      <c r="T104" s="87"/>
      <c r="U104" s="87"/>
      <c r="X104" s="87"/>
      <c r="Y104" s="87"/>
      <c r="AB104" s="87"/>
      <c r="AC104" s="87"/>
      <c r="AF104" s="87"/>
      <c r="AG104" s="87"/>
      <c r="AJ104" s="87"/>
      <c r="AK104" s="87"/>
      <c r="AN104" s="87"/>
      <c r="AO104" s="87"/>
      <c r="AR104" s="87"/>
      <c r="AS104" s="87"/>
      <c r="AV104" s="87"/>
      <c r="AW104" s="87"/>
      <c r="AZ104" s="87"/>
      <c r="BA104" s="87"/>
      <c r="BB104" s="87"/>
    </row>
    <row r="105" spans="4:54" x14ac:dyDescent="0.5">
      <c r="D105" s="267"/>
      <c r="E105" s="267"/>
      <c r="H105" s="87"/>
      <c r="I105" s="87"/>
      <c r="L105" s="87"/>
      <c r="M105" s="87"/>
      <c r="P105" s="87"/>
      <c r="Q105" s="87"/>
      <c r="T105" s="87"/>
      <c r="U105" s="87"/>
      <c r="X105" s="87"/>
      <c r="Y105" s="87"/>
      <c r="AB105" s="87"/>
      <c r="AC105" s="87"/>
      <c r="AF105" s="87"/>
      <c r="AG105" s="87"/>
      <c r="AJ105" s="87"/>
      <c r="AK105" s="87"/>
      <c r="AN105" s="87"/>
      <c r="AO105" s="87"/>
      <c r="AR105" s="87"/>
      <c r="AS105" s="87"/>
      <c r="AV105" s="87"/>
      <c r="AW105" s="87"/>
      <c r="AZ105" s="87"/>
      <c r="BA105" s="87"/>
      <c r="BB105" s="87"/>
    </row>
    <row r="106" spans="4:54" x14ac:dyDescent="0.5">
      <c r="D106" s="267"/>
      <c r="E106" s="267"/>
      <c r="H106" s="87"/>
      <c r="I106" s="87"/>
      <c r="L106" s="87"/>
      <c r="M106" s="87"/>
      <c r="P106" s="87"/>
      <c r="Q106" s="87"/>
      <c r="T106" s="87"/>
      <c r="U106" s="87"/>
      <c r="X106" s="87"/>
      <c r="Y106" s="87"/>
      <c r="AB106" s="87"/>
      <c r="AC106" s="87"/>
      <c r="AF106" s="87"/>
      <c r="AG106" s="87"/>
      <c r="AJ106" s="87"/>
      <c r="AK106" s="87"/>
      <c r="AN106" s="87"/>
      <c r="AO106" s="87"/>
      <c r="AR106" s="87"/>
      <c r="AS106" s="87"/>
      <c r="AV106" s="87"/>
      <c r="AW106" s="87"/>
      <c r="AZ106" s="87"/>
      <c r="BA106" s="87"/>
      <c r="BB106" s="87"/>
    </row>
    <row r="107" spans="4:54" x14ac:dyDescent="0.5">
      <c r="D107" s="267"/>
      <c r="E107" s="267"/>
      <c r="H107" s="87"/>
      <c r="I107" s="87"/>
      <c r="L107" s="87"/>
      <c r="M107" s="87"/>
      <c r="P107" s="87"/>
      <c r="Q107" s="87"/>
      <c r="T107" s="87"/>
      <c r="U107" s="87"/>
      <c r="X107" s="87"/>
      <c r="Y107" s="87"/>
      <c r="AB107" s="87"/>
      <c r="AC107" s="87"/>
      <c r="AF107" s="87"/>
      <c r="AG107" s="87"/>
      <c r="AJ107" s="87"/>
      <c r="AK107" s="87"/>
      <c r="AN107" s="87"/>
      <c r="AO107" s="87"/>
      <c r="AR107" s="87"/>
      <c r="AS107" s="87"/>
      <c r="AV107" s="87"/>
      <c r="AW107" s="87"/>
      <c r="AZ107" s="87"/>
      <c r="BA107" s="87"/>
      <c r="BB107" s="87"/>
    </row>
    <row r="108" spans="4:54" x14ac:dyDescent="0.5">
      <c r="D108" s="267"/>
      <c r="E108" s="267"/>
      <c r="H108" s="87"/>
      <c r="I108" s="87"/>
      <c r="L108" s="87"/>
      <c r="M108" s="87"/>
      <c r="P108" s="87"/>
      <c r="Q108" s="87"/>
      <c r="T108" s="87"/>
      <c r="U108" s="87"/>
      <c r="X108" s="87"/>
      <c r="Y108" s="87"/>
      <c r="AB108" s="87"/>
      <c r="AC108" s="87"/>
      <c r="AF108" s="87"/>
      <c r="AG108" s="87"/>
      <c r="AJ108" s="87"/>
      <c r="AK108" s="87"/>
      <c r="AN108" s="87"/>
      <c r="AO108" s="87"/>
      <c r="AR108" s="87"/>
      <c r="AS108" s="87"/>
      <c r="AV108" s="87"/>
      <c r="AW108" s="87"/>
      <c r="AZ108" s="87"/>
      <c r="BA108" s="87"/>
      <c r="BB108" s="87"/>
    </row>
    <row r="109" spans="4:54" x14ac:dyDescent="0.5">
      <c r="D109" s="267"/>
      <c r="E109" s="267"/>
      <c r="H109" s="87"/>
      <c r="I109" s="87"/>
      <c r="L109" s="87"/>
      <c r="M109" s="87"/>
      <c r="P109" s="87"/>
      <c r="Q109" s="87"/>
      <c r="T109" s="87"/>
      <c r="U109" s="87"/>
      <c r="X109" s="87"/>
      <c r="Y109" s="87"/>
      <c r="AB109" s="87"/>
      <c r="AC109" s="87"/>
      <c r="AF109" s="87"/>
      <c r="AG109" s="87"/>
      <c r="AJ109" s="87"/>
      <c r="AK109" s="87"/>
      <c r="AN109" s="87"/>
      <c r="AO109" s="87"/>
      <c r="AR109" s="87"/>
      <c r="AS109" s="87"/>
      <c r="AV109" s="87"/>
      <c r="AW109" s="87"/>
      <c r="AZ109" s="87"/>
      <c r="BA109" s="87"/>
      <c r="BB109" s="87"/>
    </row>
    <row r="110" spans="4:54" x14ac:dyDescent="0.5">
      <c r="D110" s="267"/>
      <c r="E110" s="267"/>
      <c r="H110" s="87"/>
      <c r="I110" s="87"/>
      <c r="L110" s="87"/>
      <c r="M110" s="87"/>
      <c r="P110" s="87"/>
      <c r="Q110" s="87"/>
      <c r="T110" s="87"/>
      <c r="U110" s="87"/>
      <c r="X110" s="87"/>
      <c r="Y110" s="87"/>
      <c r="AB110" s="87"/>
      <c r="AC110" s="87"/>
      <c r="AF110" s="87"/>
      <c r="AG110" s="87"/>
      <c r="AJ110" s="87"/>
      <c r="AK110" s="87"/>
      <c r="AN110" s="87"/>
      <c r="AO110" s="87"/>
      <c r="AR110" s="87"/>
      <c r="AS110" s="87"/>
      <c r="AV110" s="87"/>
      <c r="AW110" s="87"/>
      <c r="AZ110" s="87"/>
      <c r="BA110" s="87"/>
      <c r="BB110" s="87"/>
    </row>
    <row r="111" spans="4:54" x14ac:dyDescent="0.5">
      <c r="D111" s="267"/>
      <c r="E111" s="267"/>
      <c r="H111" s="87"/>
      <c r="I111" s="87"/>
      <c r="L111" s="87"/>
      <c r="M111" s="87"/>
      <c r="P111" s="87"/>
      <c r="Q111" s="87"/>
      <c r="T111" s="87"/>
      <c r="U111" s="87"/>
      <c r="X111" s="87"/>
      <c r="Y111" s="87"/>
      <c r="AB111" s="87"/>
      <c r="AC111" s="87"/>
      <c r="AF111" s="87"/>
      <c r="AG111" s="87"/>
      <c r="AJ111" s="87"/>
      <c r="AK111" s="87"/>
      <c r="AN111" s="87"/>
      <c r="AO111" s="87"/>
      <c r="AR111" s="87"/>
      <c r="AS111" s="87"/>
      <c r="AV111" s="87"/>
      <c r="AW111" s="87"/>
      <c r="AZ111" s="87"/>
      <c r="BA111" s="87"/>
      <c r="BB111" s="87"/>
    </row>
    <row r="112" spans="4:54" x14ac:dyDescent="0.5">
      <c r="D112" s="267"/>
      <c r="E112" s="267"/>
      <c r="H112" s="87"/>
      <c r="I112" s="87"/>
      <c r="L112" s="87"/>
      <c r="M112" s="87"/>
      <c r="P112" s="87"/>
      <c r="Q112" s="87"/>
      <c r="T112" s="87"/>
      <c r="U112" s="87"/>
      <c r="X112" s="87"/>
      <c r="Y112" s="87"/>
      <c r="AB112" s="87"/>
      <c r="AC112" s="87"/>
      <c r="AF112" s="87"/>
      <c r="AG112" s="87"/>
      <c r="AJ112" s="87"/>
      <c r="AK112" s="87"/>
      <c r="AN112" s="87"/>
      <c r="AO112" s="87"/>
      <c r="AR112" s="87"/>
      <c r="AS112" s="87"/>
      <c r="AV112" s="87"/>
      <c r="AW112" s="87"/>
      <c r="AZ112" s="87"/>
      <c r="BA112" s="87"/>
      <c r="BB112" s="87"/>
    </row>
    <row r="113" spans="4:54" x14ac:dyDescent="0.5">
      <c r="D113" s="267"/>
      <c r="E113" s="267"/>
      <c r="H113" s="87"/>
      <c r="I113" s="87"/>
      <c r="L113" s="87"/>
      <c r="M113" s="87"/>
      <c r="P113" s="87"/>
      <c r="Q113" s="87"/>
      <c r="T113" s="87"/>
      <c r="U113" s="87"/>
      <c r="X113" s="87"/>
      <c r="Y113" s="87"/>
      <c r="AB113" s="87"/>
      <c r="AC113" s="87"/>
      <c r="AF113" s="87"/>
      <c r="AG113" s="87"/>
      <c r="AJ113" s="87"/>
      <c r="AK113" s="87"/>
      <c r="AN113" s="87"/>
      <c r="AO113" s="87"/>
      <c r="AR113" s="87"/>
      <c r="AS113" s="87"/>
      <c r="AV113" s="87"/>
      <c r="AW113" s="87"/>
      <c r="AZ113" s="87"/>
      <c r="BA113" s="87"/>
      <c r="BB113" s="87"/>
    </row>
    <row r="114" spans="4:54" x14ac:dyDescent="0.5">
      <c r="D114" s="267"/>
      <c r="E114" s="267"/>
      <c r="H114" s="87"/>
      <c r="I114" s="87"/>
      <c r="L114" s="87"/>
      <c r="M114" s="87"/>
      <c r="P114" s="87"/>
      <c r="Q114" s="87"/>
      <c r="T114" s="87"/>
      <c r="U114" s="87"/>
      <c r="X114" s="87"/>
      <c r="Y114" s="87"/>
      <c r="AB114" s="87"/>
      <c r="AC114" s="87"/>
      <c r="AF114" s="87"/>
      <c r="AG114" s="87"/>
      <c r="AJ114" s="87"/>
      <c r="AK114" s="87"/>
      <c r="AN114" s="87"/>
      <c r="AO114" s="87"/>
      <c r="AR114" s="87"/>
      <c r="AS114" s="87"/>
      <c r="AV114" s="87"/>
      <c r="AW114" s="87"/>
      <c r="AZ114" s="87"/>
      <c r="BA114" s="87"/>
      <c r="BB114" s="87"/>
    </row>
    <row r="115" spans="4:54" x14ac:dyDescent="0.5">
      <c r="D115" s="267"/>
      <c r="E115" s="267"/>
      <c r="H115" s="87"/>
      <c r="I115" s="87"/>
      <c r="L115" s="87"/>
      <c r="M115" s="87"/>
      <c r="P115" s="87"/>
      <c r="Q115" s="87"/>
      <c r="T115" s="87"/>
      <c r="U115" s="87"/>
      <c r="X115" s="87"/>
      <c r="Y115" s="87"/>
      <c r="AB115" s="87"/>
      <c r="AC115" s="87"/>
      <c r="AF115" s="87"/>
      <c r="AG115" s="87"/>
      <c r="AJ115" s="87"/>
      <c r="AK115" s="87"/>
      <c r="AN115" s="87"/>
      <c r="AO115" s="87"/>
      <c r="AR115" s="87"/>
      <c r="AS115" s="87"/>
      <c r="AV115" s="87"/>
      <c r="AW115" s="87"/>
      <c r="AZ115" s="87"/>
      <c r="BA115" s="87"/>
      <c r="BB115" s="87"/>
    </row>
    <row r="116" spans="4:54" x14ac:dyDescent="0.5">
      <c r="D116" s="267"/>
      <c r="E116" s="267"/>
      <c r="H116" s="87"/>
      <c r="I116" s="87"/>
      <c r="L116" s="87"/>
      <c r="M116" s="87"/>
      <c r="P116" s="87"/>
      <c r="Q116" s="87"/>
      <c r="T116" s="87"/>
      <c r="U116" s="87"/>
      <c r="X116" s="87"/>
      <c r="Y116" s="87"/>
      <c r="AB116" s="87"/>
      <c r="AC116" s="87"/>
      <c r="AF116" s="87"/>
      <c r="AG116" s="87"/>
      <c r="AJ116" s="87"/>
      <c r="AK116" s="87"/>
      <c r="AN116" s="87"/>
      <c r="AO116" s="87"/>
      <c r="AR116" s="87"/>
      <c r="AS116" s="87"/>
      <c r="AV116" s="87"/>
      <c r="AW116" s="87"/>
      <c r="AZ116" s="87"/>
      <c r="BA116" s="87"/>
      <c r="BB116" s="87"/>
    </row>
    <row r="117" spans="4:54" x14ac:dyDescent="0.5">
      <c r="D117" s="267"/>
      <c r="E117" s="267"/>
      <c r="H117" s="87"/>
      <c r="I117" s="87"/>
      <c r="L117" s="87"/>
      <c r="M117" s="87"/>
      <c r="P117" s="87"/>
      <c r="Q117" s="87"/>
      <c r="T117" s="87"/>
      <c r="U117" s="87"/>
      <c r="X117" s="87"/>
      <c r="Y117" s="87"/>
      <c r="AB117" s="87"/>
      <c r="AC117" s="87"/>
      <c r="AF117" s="87"/>
      <c r="AG117" s="87"/>
      <c r="AJ117" s="87"/>
      <c r="AK117" s="87"/>
      <c r="AN117" s="87"/>
      <c r="AO117" s="87"/>
      <c r="AR117" s="87"/>
      <c r="AS117" s="87"/>
      <c r="AV117" s="87"/>
      <c r="AW117" s="87"/>
      <c r="AZ117" s="87"/>
      <c r="BA117" s="87"/>
      <c r="BB117" s="87"/>
    </row>
    <row r="118" spans="4:54" x14ac:dyDescent="0.5">
      <c r="D118" s="267"/>
      <c r="E118" s="267"/>
      <c r="H118" s="87"/>
      <c r="I118" s="87"/>
      <c r="L118" s="87"/>
      <c r="M118" s="87"/>
      <c r="P118" s="87"/>
      <c r="Q118" s="87"/>
      <c r="T118" s="87"/>
      <c r="U118" s="87"/>
      <c r="X118" s="87"/>
      <c r="Y118" s="87"/>
      <c r="AB118" s="87"/>
      <c r="AC118" s="87"/>
      <c r="AF118" s="87"/>
      <c r="AG118" s="87"/>
      <c r="AJ118" s="87"/>
      <c r="AK118" s="87"/>
      <c r="AN118" s="87"/>
      <c r="AO118" s="87"/>
      <c r="AR118" s="87"/>
      <c r="AS118" s="87"/>
      <c r="AV118" s="87"/>
      <c r="AW118" s="87"/>
      <c r="AZ118" s="87"/>
      <c r="BA118" s="87"/>
      <c r="BB118" s="87"/>
    </row>
    <row r="119" spans="4:54" x14ac:dyDescent="0.5">
      <c r="D119" s="267"/>
      <c r="E119" s="267"/>
      <c r="H119" s="87"/>
      <c r="I119" s="87"/>
      <c r="L119" s="87"/>
      <c r="M119" s="87"/>
      <c r="P119" s="87"/>
      <c r="Q119" s="87"/>
      <c r="T119" s="87"/>
      <c r="U119" s="87"/>
      <c r="X119" s="87"/>
      <c r="Y119" s="87"/>
      <c r="AB119" s="87"/>
      <c r="AC119" s="87"/>
      <c r="AF119" s="87"/>
      <c r="AG119" s="87"/>
      <c r="AJ119" s="87"/>
      <c r="AK119" s="87"/>
      <c r="AN119" s="87"/>
      <c r="AO119" s="87"/>
      <c r="AR119" s="87"/>
      <c r="AS119" s="87"/>
      <c r="AV119" s="87"/>
      <c r="AW119" s="87"/>
      <c r="AZ119" s="87"/>
      <c r="BA119" s="87"/>
      <c r="BB119" s="87"/>
    </row>
    <row r="120" spans="4:54" x14ac:dyDescent="0.5">
      <c r="D120" s="267"/>
      <c r="E120" s="267"/>
      <c r="H120" s="87"/>
      <c r="I120" s="87"/>
      <c r="L120" s="87"/>
      <c r="M120" s="87"/>
      <c r="P120" s="87"/>
      <c r="Q120" s="87"/>
      <c r="T120" s="87"/>
      <c r="U120" s="87"/>
      <c r="X120" s="87"/>
      <c r="Y120" s="87"/>
      <c r="AB120" s="87"/>
      <c r="AC120" s="87"/>
      <c r="AF120" s="87"/>
      <c r="AG120" s="87"/>
      <c r="AJ120" s="87"/>
      <c r="AK120" s="87"/>
      <c r="AN120" s="87"/>
      <c r="AO120" s="87"/>
      <c r="AR120" s="87"/>
      <c r="AS120" s="87"/>
      <c r="AV120" s="87"/>
      <c r="AW120" s="87"/>
      <c r="AZ120" s="87"/>
      <c r="BA120" s="87"/>
      <c r="BB120" s="87"/>
    </row>
    <row r="121" spans="4:54" x14ac:dyDescent="0.5">
      <c r="D121" s="267"/>
      <c r="E121" s="267"/>
      <c r="H121" s="87"/>
      <c r="I121" s="87"/>
      <c r="L121" s="87"/>
      <c r="M121" s="87"/>
      <c r="P121" s="87"/>
      <c r="Q121" s="87"/>
      <c r="T121" s="87"/>
      <c r="U121" s="87"/>
      <c r="X121" s="87"/>
      <c r="Y121" s="87"/>
      <c r="AB121" s="87"/>
      <c r="AC121" s="87"/>
      <c r="AF121" s="87"/>
      <c r="AG121" s="87"/>
      <c r="AJ121" s="87"/>
      <c r="AK121" s="87"/>
      <c r="AN121" s="87"/>
      <c r="AO121" s="87"/>
      <c r="AR121" s="87"/>
      <c r="AS121" s="87"/>
      <c r="AV121" s="87"/>
      <c r="AW121" s="87"/>
      <c r="AZ121" s="87"/>
      <c r="BA121" s="87"/>
      <c r="BB121" s="87"/>
    </row>
    <row r="122" spans="4:54" x14ac:dyDescent="0.5">
      <c r="D122" s="267"/>
      <c r="E122" s="267"/>
      <c r="H122" s="87"/>
      <c r="I122" s="87"/>
      <c r="L122" s="87"/>
      <c r="M122" s="87"/>
      <c r="P122" s="87"/>
      <c r="Q122" s="87"/>
      <c r="T122" s="87"/>
      <c r="U122" s="87"/>
      <c r="X122" s="87"/>
      <c r="Y122" s="87"/>
      <c r="AB122" s="87"/>
      <c r="AC122" s="87"/>
      <c r="AF122" s="87"/>
      <c r="AG122" s="87"/>
      <c r="AJ122" s="87"/>
      <c r="AK122" s="87"/>
      <c r="AN122" s="87"/>
      <c r="AO122" s="87"/>
      <c r="AR122" s="87"/>
      <c r="AS122" s="87"/>
      <c r="AV122" s="87"/>
      <c r="AW122" s="87"/>
      <c r="AZ122" s="87"/>
      <c r="BA122" s="87"/>
      <c r="BB122" s="87"/>
    </row>
    <row r="123" spans="4:54" x14ac:dyDescent="0.5">
      <c r="D123" s="267"/>
      <c r="E123" s="267"/>
      <c r="H123" s="87"/>
      <c r="I123" s="87"/>
      <c r="L123" s="87"/>
      <c r="M123" s="87"/>
      <c r="P123" s="87"/>
      <c r="Q123" s="87"/>
      <c r="T123" s="87"/>
      <c r="U123" s="87"/>
      <c r="X123" s="87"/>
      <c r="Y123" s="87"/>
      <c r="AB123" s="87"/>
      <c r="AC123" s="87"/>
      <c r="AF123" s="87"/>
      <c r="AG123" s="87"/>
      <c r="AJ123" s="87"/>
      <c r="AK123" s="87"/>
      <c r="AN123" s="87"/>
      <c r="AO123" s="87"/>
      <c r="AR123" s="87"/>
      <c r="AS123" s="87"/>
      <c r="AV123" s="87"/>
      <c r="AW123" s="87"/>
      <c r="AZ123" s="87"/>
      <c r="BA123" s="87"/>
      <c r="BB123" s="87"/>
    </row>
    <row r="124" spans="4:54" x14ac:dyDescent="0.5">
      <c r="D124" s="267"/>
      <c r="E124" s="267"/>
      <c r="H124" s="87"/>
      <c r="I124" s="87"/>
      <c r="L124" s="87"/>
      <c r="M124" s="87"/>
      <c r="P124" s="87"/>
      <c r="Q124" s="87"/>
      <c r="T124" s="87"/>
      <c r="U124" s="87"/>
      <c r="X124" s="87"/>
      <c r="Y124" s="87"/>
      <c r="AB124" s="87"/>
      <c r="AC124" s="87"/>
      <c r="AF124" s="87"/>
      <c r="AG124" s="87"/>
      <c r="AJ124" s="87"/>
      <c r="AK124" s="87"/>
      <c r="AN124" s="87"/>
      <c r="AO124" s="87"/>
      <c r="AR124" s="87"/>
      <c r="AS124" s="87"/>
      <c r="AV124" s="87"/>
      <c r="AW124" s="87"/>
      <c r="AZ124" s="87"/>
      <c r="BA124" s="87"/>
      <c r="BB124" s="87"/>
    </row>
    <row r="125" spans="4:54" x14ac:dyDescent="0.5">
      <c r="D125" s="267"/>
      <c r="E125" s="267"/>
      <c r="H125" s="87"/>
      <c r="I125" s="87"/>
      <c r="L125" s="87"/>
      <c r="M125" s="87"/>
      <c r="P125" s="87"/>
      <c r="Q125" s="87"/>
      <c r="T125" s="87"/>
      <c r="U125" s="87"/>
      <c r="X125" s="87"/>
      <c r="Y125" s="87"/>
      <c r="AB125" s="87"/>
      <c r="AC125" s="87"/>
      <c r="AF125" s="87"/>
      <c r="AG125" s="87"/>
      <c r="AJ125" s="87"/>
      <c r="AK125" s="87"/>
      <c r="AN125" s="87"/>
      <c r="AO125" s="87"/>
      <c r="AR125" s="87"/>
      <c r="AS125" s="87"/>
      <c r="AV125" s="87"/>
      <c r="AW125" s="87"/>
      <c r="AZ125" s="87"/>
      <c r="BA125" s="87"/>
      <c r="BB125" s="87"/>
    </row>
    <row r="126" spans="4:54" x14ac:dyDescent="0.5">
      <c r="D126" s="267"/>
      <c r="E126" s="267"/>
      <c r="H126" s="87"/>
      <c r="I126" s="87"/>
      <c r="L126" s="87"/>
      <c r="M126" s="87"/>
      <c r="P126" s="87"/>
      <c r="Q126" s="87"/>
      <c r="T126" s="87"/>
      <c r="U126" s="87"/>
      <c r="X126" s="87"/>
      <c r="Y126" s="87"/>
      <c r="AB126" s="87"/>
      <c r="AC126" s="87"/>
      <c r="AF126" s="87"/>
      <c r="AG126" s="87"/>
      <c r="AJ126" s="87"/>
      <c r="AK126" s="87"/>
      <c r="AN126" s="87"/>
      <c r="AO126" s="87"/>
      <c r="AR126" s="87"/>
      <c r="AS126" s="87"/>
      <c r="AV126" s="87"/>
      <c r="AW126" s="87"/>
      <c r="AZ126" s="87"/>
      <c r="BA126" s="87"/>
      <c r="BB126" s="87"/>
    </row>
    <row r="127" spans="4:54" x14ac:dyDescent="0.5">
      <c r="D127" s="267"/>
      <c r="E127" s="267"/>
      <c r="H127" s="87"/>
      <c r="I127" s="87"/>
      <c r="L127" s="87"/>
      <c r="M127" s="87"/>
      <c r="P127" s="87"/>
      <c r="Q127" s="87"/>
      <c r="T127" s="87"/>
      <c r="U127" s="87"/>
      <c r="X127" s="87"/>
      <c r="Y127" s="87"/>
      <c r="AB127" s="87"/>
      <c r="AC127" s="87"/>
      <c r="AF127" s="87"/>
      <c r="AG127" s="87"/>
      <c r="AJ127" s="87"/>
      <c r="AK127" s="87"/>
      <c r="AN127" s="87"/>
      <c r="AO127" s="87"/>
      <c r="AR127" s="87"/>
      <c r="AS127" s="87"/>
      <c r="AV127" s="87"/>
      <c r="AW127" s="87"/>
      <c r="AZ127" s="87"/>
      <c r="BA127" s="87"/>
      <c r="BB127" s="87"/>
    </row>
    <row r="128" spans="4:54" x14ac:dyDescent="0.5">
      <c r="D128" s="267"/>
      <c r="E128" s="267"/>
      <c r="H128" s="87"/>
      <c r="I128" s="87"/>
      <c r="L128" s="87"/>
      <c r="M128" s="87"/>
      <c r="P128" s="87"/>
      <c r="Q128" s="87"/>
      <c r="T128" s="87"/>
      <c r="U128" s="87"/>
      <c r="X128" s="87"/>
      <c r="Y128" s="87"/>
      <c r="AB128" s="87"/>
      <c r="AC128" s="87"/>
      <c r="AF128" s="87"/>
      <c r="AG128" s="87"/>
      <c r="AJ128" s="87"/>
      <c r="AK128" s="87"/>
      <c r="AN128" s="87"/>
      <c r="AO128" s="87"/>
      <c r="AR128" s="87"/>
      <c r="AS128" s="87"/>
      <c r="AV128" s="87"/>
      <c r="AW128" s="87"/>
      <c r="AZ128" s="87"/>
      <c r="BA128" s="87"/>
      <c r="BB128" s="87"/>
    </row>
    <row r="129" spans="4:54" x14ac:dyDescent="0.5">
      <c r="D129" s="267"/>
      <c r="E129" s="267"/>
      <c r="H129" s="87"/>
      <c r="I129" s="87"/>
      <c r="L129" s="87"/>
      <c r="M129" s="87"/>
      <c r="P129" s="87"/>
      <c r="Q129" s="87"/>
      <c r="T129" s="87"/>
      <c r="U129" s="87"/>
      <c r="X129" s="87"/>
      <c r="Y129" s="87"/>
      <c r="AB129" s="87"/>
      <c r="AC129" s="87"/>
      <c r="AF129" s="87"/>
      <c r="AG129" s="87"/>
      <c r="AJ129" s="87"/>
      <c r="AK129" s="87"/>
      <c r="AN129" s="87"/>
      <c r="AO129" s="87"/>
      <c r="AR129" s="87"/>
      <c r="AS129" s="87"/>
      <c r="AV129" s="87"/>
      <c r="AW129" s="87"/>
      <c r="AZ129" s="87"/>
      <c r="BA129" s="87"/>
      <c r="BB129" s="87"/>
    </row>
    <row r="130" spans="4:54" x14ac:dyDescent="0.5">
      <c r="D130" s="267"/>
      <c r="E130" s="267"/>
      <c r="H130" s="87"/>
      <c r="I130" s="87"/>
      <c r="L130" s="87"/>
      <c r="M130" s="87"/>
      <c r="P130" s="87"/>
      <c r="Q130" s="87"/>
      <c r="T130" s="87"/>
      <c r="U130" s="87"/>
      <c r="X130" s="87"/>
      <c r="Y130" s="87"/>
      <c r="AB130" s="87"/>
      <c r="AC130" s="87"/>
      <c r="AF130" s="87"/>
      <c r="AG130" s="87"/>
      <c r="AJ130" s="87"/>
      <c r="AK130" s="87"/>
      <c r="AN130" s="87"/>
      <c r="AO130" s="87"/>
      <c r="AR130" s="87"/>
      <c r="AS130" s="87"/>
      <c r="AV130" s="87"/>
      <c r="AW130" s="87"/>
      <c r="AZ130" s="87"/>
      <c r="BA130" s="87"/>
      <c r="BB130" s="87"/>
    </row>
    <row r="131" spans="4:54" x14ac:dyDescent="0.5">
      <c r="D131" s="267"/>
      <c r="E131" s="267"/>
      <c r="H131" s="87"/>
      <c r="I131" s="87"/>
      <c r="L131" s="87"/>
      <c r="M131" s="87"/>
      <c r="P131" s="87"/>
      <c r="Q131" s="87"/>
      <c r="T131" s="87"/>
      <c r="U131" s="87"/>
      <c r="X131" s="87"/>
      <c r="Y131" s="87"/>
      <c r="AB131" s="87"/>
      <c r="AC131" s="87"/>
      <c r="AF131" s="87"/>
      <c r="AG131" s="87"/>
      <c r="AJ131" s="87"/>
      <c r="AK131" s="87"/>
      <c r="AN131" s="87"/>
      <c r="AO131" s="87"/>
      <c r="AR131" s="87"/>
      <c r="AS131" s="87"/>
      <c r="AV131" s="87"/>
      <c r="AW131" s="87"/>
      <c r="AZ131" s="87"/>
      <c r="BA131" s="87"/>
      <c r="BB131" s="87"/>
    </row>
    <row r="132" spans="4:54" x14ac:dyDescent="0.5">
      <c r="D132" s="267"/>
      <c r="E132" s="267"/>
      <c r="H132" s="87"/>
      <c r="I132" s="87"/>
      <c r="L132" s="87"/>
      <c r="M132" s="87"/>
      <c r="P132" s="87"/>
      <c r="Q132" s="87"/>
      <c r="T132" s="87"/>
      <c r="U132" s="87"/>
      <c r="X132" s="87"/>
      <c r="Y132" s="87"/>
      <c r="AB132" s="87"/>
      <c r="AC132" s="87"/>
      <c r="AF132" s="87"/>
      <c r="AG132" s="87"/>
      <c r="AJ132" s="87"/>
      <c r="AK132" s="87"/>
      <c r="AN132" s="87"/>
      <c r="AO132" s="87"/>
      <c r="AR132" s="87"/>
      <c r="AS132" s="87"/>
      <c r="AV132" s="87"/>
      <c r="AW132" s="87"/>
      <c r="AZ132" s="87"/>
      <c r="BA132" s="87"/>
      <c r="BB132" s="87"/>
    </row>
    <row r="133" spans="4:54" x14ac:dyDescent="0.5">
      <c r="D133" s="267"/>
      <c r="E133" s="267"/>
      <c r="H133" s="87"/>
      <c r="I133" s="87"/>
      <c r="L133" s="87"/>
      <c r="M133" s="87"/>
      <c r="P133" s="87"/>
      <c r="Q133" s="87"/>
      <c r="T133" s="87"/>
      <c r="U133" s="87"/>
      <c r="X133" s="87"/>
      <c r="Y133" s="87"/>
      <c r="AB133" s="87"/>
      <c r="AC133" s="87"/>
      <c r="AF133" s="87"/>
      <c r="AG133" s="87"/>
      <c r="AJ133" s="87"/>
      <c r="AK133" s="87"/>
      <c r="AN133" s="87"/>
      <c r="AO133" s="87"/>
      <c r="AR133" s="87"/>
      <c r="AS133" s="87"/>
      <c r="AV133" s="87"/>
      <c r="AW133" s="87"/>
      <c r="AZ133" s="87"/>
      <c r="BA133" s="87"/>
      <c r="BB133" s="87"/>
    </row>
    <row r="134" spans="4:54" x14ac:dyDescent="0.5">
      <c r="D134" s="267"/>
      <c r="E134" s="267"/>
      <c r="H134" s="87"/>
      <c r="I134" s="87"/>
      <c r="L134" s="87"/>
      <c r="M134" s="87"/>
      <c r="P134" s="87"/>
      <c r="Q134" s="87"/>
      <c r="T134" s="87"/>
      <c r="U134" s="87"/>
      <c r="X134" s="87"/>
      <c r="Y134" s="87"/>
      <c r="AB134" s="87"/>
      <c r="AC134" s="87"/>
      <c r="AF134" s="87"/>
      <c r="AG134" s="87"/>
      <c r="AJ134" s="87"/>
      <c r="AK134" s="87"/>
      <c r="AN134" s="87"/>
      <c r="AO134" s="87"/>
      <c r="AR134" s="87"/>
      <c r="AS134" s="87"/>
      <c r="AV134" s="87"/>
      <c r="AW134" s="87"/>
      <c r="AZ134" s="87"/>
      <c r="BA134" s="87"/>
      <c r="BB134" s="87"/>
    </row>
    <row r="135" spans="4:54" x14ac:dyDescent="0.5">
      <c r="D135" s="267"/>
      <c r="E135" s="267"/>
      <c r="H135" s="87"/>
      <c r="I135" s="87"/>
      <c r="L135" s="87"/>
      <c r="M135" s="87"/>
      <c r="P135" s="87"/>
      <c r="Q135" s="87"/>
      <c r="T135" s="87"/>
      <c r="U135" s="87"/>
      <c r="X135" s="87"/>
      <c r="Y135" s="87"/>
      <c r="AB135" s="87"/>
      <c r="AC135" s="87"/>
      <c r="AF135" s="87"/>
      <c r="AG135" s="87"/>
      <c r="AJ135" s="87"/>
      <c r="AK135" s="87"/>
      <c r="AN135" s="87"/>
      <c r="AO135" s="87"/>
      <c r="AR135" s="87"/>
      <c r="AS135" s="87"/>
      <c r="AV135" s="87"/>
      <c r="AW135" s="87"/>
      <c r="AZ135" s="87"/>
      <c r="BA135" s="87"/>
      <c r="BB135" s="87"/>
    </row>
    <row r="136" spans="4:54" x14ac:dyDescent="0.5">
      <c r="D136" s="267"/>
      <c r="E136" s="267"/>
      <c r="H136" s="87"/>
      <c r="I136" s="87"/>
      <c r="L136" s="87"/>
      <c r="M136" s="87"/>
      <c r="P136" s="87"/>
      <c r="Q136" s="87"/>
      <c r="T136" s="87"/>
      <c r="U136" s="87"/>
      <c r="X136" s="87"/>
      <c r="Y136" s="87"/>
      <c r="AB136" s="87"/>
      <c r="AC136" s="87"/>
      <c r="AF136" s="87"/>
      <c r="AG136" s="87"/>
      <c r="AJ136" s="87"/>
      <c r="AK136" s="87"/>
      <c r="AN136" s="87"/>
      <c r="AO136" s="87"/>
      <c r="AR136" s="87"/>
      <c r="AS136" s="87"/>
      <c r="AV136" s="87"/>
      <c r="AW136" s="87"/>
      <c r="AZ136" s="87"/>
      <c r="BA136" s="87"/>
      <c r="BB136" s="87"/>
    </row>
    <row r="137" spans="4:54" x14ac:dyDescent="0.5">
      <c r="D137" s="267"/>
      <c r="E137" s="267"/>
      <c r="H137" s="87"/>
      <c r="I137" s="87"/>
      <c r="L137" s="87"/>
      <c r="M137" s="87"/>
      <c r="P137" s="87"/>
      <c r="Q137" s="87"/>
      <c r="T137" s="87"/>
      <c r="U137" s="87"/>
      <c r="X137" s="87"/>
      <c r="Y137" s="87"/>
      <c r="AB137" s="87"/>
      <c r="AC137" s="87"/>
      <c r="AF137" s="87"/>
      <c r="AG137" s="87"/>
      <c r="AJ137" s="87"/>
      <c r="AK137" s="87"/>
      <c r="AN137" s="87"/>
      <c r="AO137" s="87"/>
      <c r="AR137" s="87"/>
      <c r="AS137" s="87"/>
      <c r="AV137" s="87"/>
      <c r="AW137" s="87"/>
      <c r="AZ137" s="87"/>
      <c r="BA137" s="87"/>
      <c r="BB137" s="87"/>
    </row>
    <row r="138" spans="4:54" x14ac:dyDescent="0.5">
      <c r="D138" s="267"/>
      <c r="E138" s="267"/>
      <c r="H138" s="87"/>
      <c r="I138" s="87"/>
      <c r="L138" s="87"/>
      <c r="M138" s="87"/>
      <c r="P138" s="87"/>
      <c r="Q138" s="87"/>
      <c r="T138" s="87"/>
      <c r="U138" s="87"/>
      <c r="X138" s="87"/>
      <c r="Y138" s="87"/>
      <c r="AB138" s="87"/>
      <c r="AC138" s="87"/>
      <c r="AF138" s="87"/>
      <c r="AG138" s="87"/>
      <c r="AJ138" s="87"/>
      <c r="AK138" s="87"/>
      <c r="AN138" s="87"/>
      <c r="AO138" s="87"/>
      <c r="AR138" s="87"/>
      <c r="AS138" s="87"/>
      <c r="AV138" s="87"/>
      <c r="AW138" s="87"/>
      <c r="AZ138" s="87"/>
      <c r="BA138" s="87"/>
      <c r="BB138" s="87"/>
    </row>
    <row r="139" spans="4:54" x14ac:dyDescent="0.5">
      <c r="D139" s="267"/>
      <c r="E139" s="267"/>
      <c r="H139" s="87"/>
      <c r="I139" s="87"/>
      <c r="L139" s="87"/>
      <c r="M139" s="87"/>
      <c r="P139" s="87"/>
      <c r="Q139" s="87"/>
      <c r="T139" s="87"/>
      <c r="U139" s="87"/>
      <c r="X139" s="87"/>
      <c r="Y139" s="87"/>
      <c r="AB139" s="87"/>
      <c r="AC139" s="87"/>
      <c r="AF139" s="87"/>
      <c r="AG139" s="87"/>
      <c r="AJ139" s="87"/>
      <c r="AK139" s="87"/>
      <c r="AN139" s="87"/>
      <c r="AO139" s="87"/>
      <c r="AR139" s="87"/>
      <c r="AS139" s="87"/>
      <c r="AV139" s="87"/>
      <c r="AW139" s="87"/>
      <c r="AZ139" s="87"/>
      <c r="BA139" s="87"/>
      <c r="BB139" s="87"/>
    </row>
    <row r="140" spans="4:54" x14ac:dyDescent="0.5">
      <c r="D140" s="267"/>
      <c r="E140" s="267"/>
      <c r="H140" s="87"/>
      <c r="I140" s="87"/>
      <c r="L140" s="87"/>
      <c r="M140" s="87"/>
      <c r="P140" s="87"/>
      <c r="Q140" s="87"/>
      <c r="T140" s="87"/>
      <c r="U140" s="87"/>
      <c r="X140" s="87"/>
      <c r="Y140" s="87"/>
      <c r="AB140" s="87"/>
      <c r="AC140" s="87"/>
      <c r="AF140" s="87"/>
      <c r="AG140" s="87"/>
      <c r="AJ140" s="87"/>
      <c r="AK140" s="87"/>
      <c r="AN140" s="87"/>
      <c r="AO140" s="87"/>
      <c r="AR140" s="87"/>
      <c r="AS140" s="87"/>
      <c r="AV140" s="87"/>
      <c r="AW140" s="87"/>
      <c r="AZ140" s="87"/>
      <c r="BA140" s="87"/>
      <c r="BB140" s="87"/>
    </row>
    <row r="141" spans="4:54" x14ac:dyDescent="0.5">
      <c r="D141" s="267"/>
      <c r="E141" s="267"/>
      <c r="H141" s="87"/>
      <c r="I141" s="87"/>
      <c r="L141" s="87"/>
      <c r="M141" s="87"/>
      <c r="P141" s="87"/>
      <c r="Q141" s="87"/>
      <c r="T141" s="87"/>
      <c r="U141" s="87"/>
      <c r="X141" s="87"/>
      <c r="Y141" s="87"/>
      <c r="AB141" s="87"/>
      <c r="AC141" s="87"/>
      <c r="AF141" s="87"/>
      <c r="AG141" s="87"/>
      <c r="AJ141" s="87"/>
      <c r="AK141" s="87"/>
      <c r="AN141" s="87"/>
      <c r="AO141" s="87"/>
      <c r="AR141" s="87"/>
      <c r="AS141" s="87"/>
      <c r="AV141" s="87"/>
      <c r="AW141" s="87"/>
      <c r="AZ141" s="87"/>
      <c r="BA141" s="87"/>
      <c r="BB141" s="87"/>
    </row>
  </sheetData>
  <mergeCells count="29">
    <mergeCell ref="F4:G5"/>
    <mergeCell ref="H4:I5"/>
    <mergeCell ref="J4:K5"/>
    <mergeCell ref="L4:M5"/>
    <mergeCell ref="Z4:AA5"/>
    <mergeCell ref="N4:O5"/>
    <mergeCell ref="P4:Q5"/>
    <mergeCell ref="R4:S5"/>
    <mergeCell ref="T4:U5"/>
    <mergeCell ref="V4:W5"/>
    <mergeCell ref="A4:A6"/>
    <mergeCell ref="B4:B6"/>
    <mergeCell ref="C4:C5"/>
    <mergeCell ref="D4:E4"/>
    <mergeCell ref="D5:E5"/>
    <mergeCell ref="AX4:AY5"/>
    <mergeCell ref="AZ4:BA5"/>
    <mergeCell ref="AB4:AC5"/>
    <mergeCell ref="X4:Y5"/>
    <mergeCell ref="AV4:AW5"/>
    <mergeCell ref="AH4:AI5"/>
    <mergeCell ref="AJ4:AK5"/>
    <mergeCell ref="AF4:AG5"/>
    <mergeCell ref="AT4:AU5"/>
    <mergeCell ref="AD4:AE5"/>
    <mergeCell ref="AP4:AQ5"/>
    <mergeCell ref="AR4:AS5"/>
    <mergeCell ref="AL4:AM5"/>
    <mergeCell ref="AN4:AO5"/>
  </mergeCells>
  <pageMargins left="0.3" right="0.15748031496062992" top="0.31496062992125984" bottom="0.35433070866141736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6:L26"/>
  <sheetViews>
    <sheetView workbookViewId="0">
      <selection activeCell="J10" sqref="J10"/>
    </sheetView>
  </sheetViews>
  <sheetFormatPr defaultRowHeight="12.75" x14ac:dyDescent="0.2"/>
  <cols>
    <col min="10" max="10" width="10.28515625" bestFit="1" customWidth="1"/>
    <col min="12" max="12" width="15.5703125" customWidth="1"/>
  </cols>
  <sheetData>
    <row r="6" spans="8:12" x14ac:dyDescent="0.2">
      <c r="H6">
        <v>10000</v>
      </c>
      <c r="J6">
        <v>5000</v>
      </c>
      <c r="L6" s="268">
        <v>17467.12</v>
      </c>
    </row>
    <row r="7" spans="8:12" x14ac:dyDescent="0.2">
      <c r="H7">
        <v>150.65</v>
      </c>
      <c r="J7">
        <v>6000</v>
      </c>
      <c r="L7" s="268">
        <v>34684.980000000003</v>
      </c>
    </row>
    <row r="8" spans="8:12" x14ac:dyDescent="0.2">
      <c r="H8">
        <v>1304.3800000000001</v>
      </c>
      <c r="J8">
        <v>3500</v>
      </c>
      <c r="L8" s="268">
        <v>13133.15</v>
      </c>
    </row>
    <row r="9" spans="8:12" x14ac:dyDescent="0.2">
      <c r="H9">
        <v>317.58999999999997</v>
      </c>
      <c r="J9">
        <v>2200</v>
      </c>
      <c r="L9" s="268">
        <v>26286.17</v>
      </c>
    </row>
    <row r="10" spans="8:12" x14ac:dyDescent="0.2">
      <c r="H10">
        <v>9000</v>
      </c>
      <c r="J10">
        <v>1237</v>
      </c>
      <c r="L10" s="268">
        <v>28266.44</v>
      </c>
    </row>
    <row r="11" spans="8:12" x14ac:dyDescent="0.2">
      <c r="H11">
        <v>421.92</v>
      </c>
      <c r="J11">
        <v>9500</v>
      </c>
      <c r="L11" s="268">
        <v>20246.3</v>
      </c>
    </row>
    <row r="12" spans="8:12" x14ac:dyDescent="0.2">
      <c r="H12">
        <v>9.2100000000000009</v>
      </c>
      <c r="J12">
        <v>3000</v>
      </c>
      <c r="L12" s="268">
        <v>57188.78</v>
      </c>
    </row>
    <row r="13" spans="8:12" x14ac:dyDescent="0.2">
      <c r="H13">
        <v>5000</v>
      </c>
      <c r="J13">
        <v>1500</v>
      </c>
      <c r="L13" s="268">
        <v>84194.69</v>
      </c>
    </row>
    <row r="14" spans="8:12" x14ac:dyDescent="0.2">
      <c r="H14">
        <v>4072.03</v>
      </c>
      <c r="J14">
        <v>8700</v>
      </c>
      <c r="L14" s="268">
        <v>66864.22</v>
      </c>
    </row>
    <row r="15" spans="8:12" x14ac:dyDescent="0.2">
      <c r="H15">
        <v>5500</v>
      </c>
      <c r="J15">
        <v>4900</v>
      </c>
      <c r="L15" s="268">
        <v>23772.959999999999</v>
      </c>
    </row>
    <row r="16" spans="8:12" x14ac:dyDescent="0.2">
      <c r="H16">
        <v>2236.16</v>
      </c>
      <c r="J16">
        <v>5500</v>
      </c>
      <c r="L16" s="268">
        <v>35516.71</v>
      </c>
    </row>
    <row r="17" spans="8:12" x14ac:dyDescent="0.2">
      <c r="H17">
        <v>12.66</v>
      </c>
      <c r="J17">
        <v>3000</v>
      </c>
      <c r="L17" s="268">
        <v>67859.179999999993</v>
      </c>
    </row>
    <row r="18" spans="8:12" x14ac:dyDescent="0.2">
      <c r="H18">
        <v>4000</v>
      </c>
      <c r="J18">
        <v>3500</v>
      </c>
      <c r="L18" s="268">
        <v>41547.120000000003</v>
      </c>
    </row>
    <row r="19" spans="8:12" x14ac:dyDescent="0.2">
      <c r="H19">
        <v>273.48</v>
      </c>
      <c r="J19">
        <v>3600</v>
      </c>
      <c r="L19" s="268">
        <v>110917.47</v>
      </c>
    </row>
    <row r="20" spans="8:12" x14ac:dyDescent="0.2">
      <c r="H20">
        <v>7.67</v>
      </c>
      <c r="J20">
        <v>6000</v>
      </c>
      <c r="L20" s="268">
        <v>51001.22</v>
      </c>
    </row>
    <row r="21" spans="8:12" x14ac:dyDescent="0.2">
      <c r="H21">
        <v>16804.79</v>
      </c>
      <c r="J21">
        <v>3900</v>
      </c>
      <c r="L21" s="268">
        <v>89096.98</v>
      </c>
    </row>
    <row r="22" spans="8:12" x14ac:dyDescent="0.2">
      <c r="J22">
        <v>2500</v>
      </c>
      <c r="L22" s="268">
        <v>82740.3</v>
      </c>
    </row>
    <row r="23" spans="8:12" x14ac:dyDescent="0.2">
      <c r="J23">
        <v>4070</v>
      </c>
      <c r="L23" s="268">
        <v>223391.37</v>
      </c>
    </row>
    <row r="24" spans="8:12" x14ac:dyDescent="0.2">
      <c r="H24">
        <f>SUM(H6:H21)</f>
        <v>59110.540000000008</v>
      </c>
      <c r="J24" s="268">
        <f>SUM(J6:J23)</f>
        <v>77607</v>
      </c>
    </row>
    <row r="26" spans="8:12" x14ac:dyDescent="0.2">
      <c r="L26" s="268">
        <f>SUM(L6:L23)</f>
        <v>1074175.1600000001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view="pageBreakPreview" topLeftCell="A16" zoomScaleNormal="100" zoomScaleSheetLayoutView="100" workbookViewId="0">
      <selection activeCell="C13" sqref="C13"/>
    </sheetView>
  </sheetViews>
  <sheetFormatPr defaultRowHeight="24" x14ac:dyDescent="0.55000000000000004"/>
  <cols>
    <col min="1" max="1" width="9.140625" style="145"/>
    <col min="2" max="2" width="4.42578125" style="145" customWidth="1"/>
    <col min="3" max="16384" width="9.140625" style="145"/>
  </cols>
  <sheetData>
    <row r="2" spans="1:10" x14ac:dyDescent="0.55000000000000004">
      <c r="A2" s="141" t="s">
        <v>193</v>
      </c>
      <c r="F2" s="355" t="s">
        <v>179</v>
      </c>
      <c r="G2" s="355"/>
      <c r="H2" s="355"/>
      <c r="I2" s="355"/>
      <c r="J2" s="355"/>
    </row>
    <row r="3" spans="1:10" x14ac:dyDescent="0.55000000000000004">
      <c r="A3" s="355" t="s">
        <v>180</v>
      </c>
      <c r="B3" s="355"/>
      <c r="C3" s="355"/>
      <c r="D3" s="355"/>
      <c r="E3" s="355"/>
      <c r="F3" s="355"/>
      <c r="G3" s="355"/>
      <c r="H3" s="355"/>
      <c r="I3" s="355"/>
      <c r="J3" s="355"/>
    </row>
    <row r="4" spans="1:10" ht="18" customHeight="1" x14ac:dyDescent="0.55000000000000004">
      <c r="H4" s="356" t="s">
        <v>173</v>
      </c>
      <c r="I4" s="356"/>
      <c r="J4" s="356"/>
    </row>
    <row r="5" spans="1:10" x14ac:dyDescent="0.55000000000000004">
      <c r="A5" s="141" t="s">
        <v>174</v>
      </c>
      <c r="G5" s="141" t="s">
        <v>175</v>
      </c>
    </row>
    <row r="6" spans="1:10" x14ac:dyDescent="0.55000000000000004">
      <c r="A6" s="143"/>
      <c r="D6" s="357" t="s">
        <v>200</v>
      </c>
      <c r="E6" s="357"/>
      <c r="F6" s="357"/>
    </row>
    <row r="7" spans="1:10" x14ac:dyDescent="0.55000000000000004">
      <c r="A7" s="144"/>
    </row>
    <row r="8" spans="1:10" x14ac:dyDescent="0.55000000000000004">
      <c r="A8" s="141" t="s">
        <v>182</v>
      </c>
      <c r="B8" s="141"/>
      <c r="C8" s="359" t="s">
        <v>201</v>
      </c>
      <c r="D8" s="359"/>
      <c r="E8" s="359"/>
      <c r="F8" s="359"/>
    </row>
    <row r="9" spans="1:10" x14ac:dyDescent="0.55000000000000004">
      <c r="A9" s="141" t="s">
        <v>183</v>
      </c>
      <c r="C9" s="359" t="s">
        <v>185</v>
      </c>
      <c r="D9" s="359"/>
      <c r="E9" s="359"/>
      <c r="F9" s="359"/>
    </row>
    <row r="10" spans="1:10" x14ac:dyDescent="0.55000000000000004">
      <c r="A10" s="141" t="s">
        <v>181</v>
      </c>
      <c r="C10" s="359" t="s">
        <v>194</v>
      </c>
      <c r="D10" s="359"/>
      <c r="E10" s="359"/>
      <c r="F10" s="359"/>
      <c r="G10" s="359"/>
      <c r="H10" s="359"/>
      <c r="I10" s="359"/>
    </row>
    <row r="11" spans="1:10" x14ac:dyDescent="0.55000000000000004">
      <c r="A11" s="141"/>
    </row>
    <row r="12" spans="1:10" x14ac:dyDescent="0.55000000000000004">
      <c r="B12" s="141"/>
      <c r="C12" s="145" t="s">
        <v>184</v>
      </c>
      <c r="G12" s="141"/>
      <c r="H12" s="141"/>
    </row>
    <row r="13" spans="1:10" x14ac:dyDescent="0.55000000000000004">
      <c r="A13" s="145" t="s">
        <v>202</v>
      </c>
      <c r="B13" s="141"/>
      <c r="D13" s="141"/>
    </row>
    <row r="14" spans="1:10" x14ac:dyDescent="0.55000000000000004">
      <c r="B14" s="141"/>
      <c r="D14" s="141"/>
    </row>
    <row r="15" spans="1:10" x14ac:dyDescent="0.55000000000000004">
      <c r="B15" s="141"/>
      <c r="D15" s="141"/>
    </row>
    <row r="16" spans="1:10" x14ac:dyDescent="0.55000000000000004">
      <c r="B16" s="141"/>
      <c r="C16" s="141"/>
    </row>
    <row r="17" spans="1:9" x14ac:dyDescent="0.55000000000000004">
      <c r="C17" s="141"/>
    </row>
    <row r="18" spans="1:9" x14ac:dyDescent="0.55000000000000004">
      <c r="C18" s="141" t="s">
        <v>176</v>
      </c>
    </row>
    <row r="19" spans="1:9" x14ac:dyDescent="0.55000000000000004">
      <c r="A19" s="141"/>
    </row>
    <row r="20" spans="1:9" x14ac:dyDescent="0.55000000000000004">
      <c r="G20" s="161" t="s">
        <v>177</v>
      </c>
    </row>
    <row r="21" spans="1:9" x14ac:dyDescent="0.55000000000000004">
      <c r="A21" s="141"/>
    </row>
    <row r="22" spans="1:9" x14ac:dyDescent="0.55000000000000004">
      <c r="G22" s="356" t="s">
        <v>195</v>
      </c>
      <c r="H22" s="356"/>
      <c r="I22" s="356"/>
    </row>
    <row r="23" spans="1:9" ht="21" customHeight="1" x14ac:dyDescent="0.55000000000000004">
      <c r="F23" s="358" t="s">
        <v>196</v>
      </c>
      <c r="G23" s="358"/>
      <c r="H23" s="358"/>
      <c r="I23" s="358"/>
    </row>
    <row r="24" spans="1:9" x14ac:dyDescent="0.55000000000000004">
      <c r="E24" s="141" t="s">
        <v>178</v>
      </c>
    </row>
    <row r="25" spans="1:9" x14ac:dyDescent="0.55000000000000004">
      <c r="A25" s="142"/>
    </row>
  </sheetData>
  <mergeCells count="9">
    <mergeCell ref="A3:J3"/>
    <mergeCell ref="F2:J2"/>
    <mergeCell ref="H4:J4"/>
    <mergeCell ref="D6:F6"/>
    <mergeCell ref="F23:I23"/>
    <mergeCell ref="G22:I22"/>
    <mergeCell ref="C8:F8"/>
    <mergeCell ref="C9:F9"/>
    <mergeCell ref="C10:I10"/>
  </mergeCells>
  <pageMargins left="0.82677165354330717" right="0.23622047244094491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H150"/>
  <sheetViews>
    <sheetView view="pageBreakPreview" zoomScale="90" zoomScaleNormal="100" zoomScaleSheetLayoutView="90" workbookViewId="0">
      <pane xSplit="3" ySplit="6" topLeftCell="BR19" activePane="bottomRight" state="frozen"/>
      <selection activeCell="BY10" sqref="BY10"/>
      <selection pane="topRight" activeCell="BY10" sqref="BY10"/>
      <selection pane="bottomLeft" activeCell="BY10" sqref="BY10"/>
      <selection pane="bottomRight" activeCell="BY10" sqref="BY10"/>
    </sheetView>
  </sheetViews>
  <sheetFormatPr defaultColWidth="38.42578125" defaultRowHeight="21.75" x14ac:dyDescent="0.5"/>
  <cols>
    <col min="1" max="1" width="7.42578125" style="17" customWidth="1"/>
    <col min="2" max="2" width="41.28515625" style="88" customWidth="1"/>
    <col min="3" max="3" width="7.140625" style="2" bestFit="1" customWidth="1"/>
    <col min="4" max="5" width="13.7109375" style="2" hidden="1" customWidth="1"/>
    <col min="6" max="7" width="13.7109375" style="97" hidden="1" customWidth="1"/>
    <col min="8" max="9" width="13.7109375" style="2" hidden="1" customWidth="1"/>
    <col min="10" max="11" width="13.7109375" style="97" hidden="1" customWidth="1"/>
    <col min="12" max="13" width="13.7109375" style="2" hidden="1" customWidth="1"/>
    <col min="14" max="15" width="13.7109375" style="97" hidden="1" customWidth="1"/>
    <col min="16" max="17" width="13.7109375" style="2" hidden="1" customWidth="1"/>
    <col min="18" max="19" width="13.7109375" style="97" hidden="1" customWidth="1"/>
    <col min="20" max="21" width="13.7109375" style="2" hidden="1" customWidth="1"/>
    <col min="22" max="23" width="13.7109375" style="97" hidden="1" customWidth="1"/>
    <col min="24" max="25" width="13.7109375" style="2" hidden="1" customWidth="1"/>
    <col min="26" max="27" width="13.7109375" style="97" hidden="1" customWidth="1"/>
    <col min="28" max="29" width="13.7109375" style="2" hidden="1" customWidth="1"/>
    <col min="30" max="31" width="13.7109375" style="97" hidden="1" customWidth="1"/>
    <col min="32" max="33" width="13.7109375" style="2" hidden="1" customWidth="1"/>
    <col min="34" max="35" width="13.7109375" style="97" hidden="1" customWidth="1"/>
    <col min="36" max="37" width="13.7109375" style="2" hidden="1" customWidth="1"/>
    <col min="38" max="39" width="13.7109375" style="97" hidden="1" customWidth="1"/>
    <col min="40" max="41" width="13.7109375" style="2" hidden="1" customWidth="1"/>
    <col min="42" max="43" width="13.7109375" style="97" hidden="1" customWidth="1"/>
    <col min="44" max="45" width="13.7109375" style="2" hidden="1" customWidth="1"/>
    <col min="46" max="47" width="13.7109375" style="97" hidden="1" customWidth="1"/>
    <col min="48" max="49" width="13.7109375" style="2" hidden="1" customWidth="1"/>
    <col min="50" max="51" width="13.7109375" style="97" hidden="1" customWidth="1"/>
    <col min="52" max="53" width="13.7109375" style="2" customWidth="1"/>
    <col min="54" max="55" width="13.7109375" style="97" customWidth="1"/>
    <col min="56" max="57" width="13.7109375" style="2" customWidth="1"/>
    <col min="58" max="59" width="13.7109375" style="97" customWidth="1"/>
    <col min="60" max="61" width="13.7109375" style="2" customWidth="1"/>
    <col min="62" max="63" width="13.7109375" style="97" customWidth="1"/>
    <col min="64" max="65" width="13.7109375" style="2" customWidth="1"/>
    <col min="66" max="67" width="13.7109375" style="97" customWidth="1"/>
    <col min="68" max="73" width="13.7109375" style="2" customWidth="1"/>
    <col min="74" max="74" width="3.28515625" style="3" customWidth="1"/>
    <col min="75" max="75" width="12.42578125" style="2" customWidth="1"/>
    <col min="76" max="76" width="3.7109375" style="3" customWidth="1"/>
    <col min="77" max="77" width="12.5703125" style="2" customWidth="1"/>
    <col min="78" max="103" width="13.7109375" style="2" customWidth="1"/>
    <col min="104" max="16384" width="38.42578125" style="2"/>
  </cols>
  <sheetData>
    <row r="1" spans="1:85" s="13" customFormat="1" x14ac:dyDescent="0.5">
      <c r="A1" s="111" t="s">
        <v>166</v>
      </c>
      <c r="B1" s="111"/>
      <c r="C1" s="111"/>
      <c r="D1" s="111"/>
      <c r="E1" s="111"/>
      <c r="F1" s="114"/>
      <c r="G1" s="114"/>
      <c r="H1" s="111"/>
      <c r="I1" s="111"/>
      <c r="J1" s="114"/>
      <c r="K1" s="114"/>
      <c r="L1" s="111"/>
      <c r="M1" s="111"/>
      <c r="N1" s="114"/>
      <c r="O1" s="114"/>
      <c r="P1" s="111"/>
      <c r="Q1" s="111"/>
      <c r="R1" s="114"/>
      <c r="S1" s="114"/>
      <c r="T1" s="111"/>
      <c r="U1" s="111"/>
      <c r="V1" s="114"/>
      <c r="W1" s="114"/>
      <c r="X1" s="111"/>
      <c r="Y1" s="111"/>
      <c r="Z1" s="114"/>
      <c r="AA1" s="114"/>
      <c r="AB1" s="111"/>
      <c r="AC1" s="111"/>
      <c r="AD1" s="114"/>
      <c r="AE1" s="114"/>
      <c r="AF1" s="111"/>
      <c r="AG1" s="111"/>
      <c r="AH1" s="114"/>
      <c r="AI1" s="114"/>
      <c r="AJ1" s="111"/>
      <c r="AK1" s="111"/>
      <c r="AL1" s="114"/>
      <c r="AM1" s="114"/>
      <c r="AN1" s="111"/>
      <c r="AO1" s="111"/>
      <c r="AP1" s="114"/>
      <c r="AQ1" s="114"/>
      <c r="AR1" s="111"/>
      <c r="AS1" s="111"/>
      <c r="AT1" s="114"/>
      <c r="AU1" s="114"/>
      <c r="AV1" s="111"/>
      <c r="AW1" s="111"/>
      <c r="AX1" s="114"/>
      <c r="AY1" s="114"/>
      <c r="AZ1" s="111"/>
      <c r="BA1" s="111"/>
      <c r="BB1" s="114"/>
      <c r="BC1" s="114"/>
      <c r="BD1" s="111"/>
      <c r="BE1" s="111"/>
      <c r="BF1" s="114"/>
      <c r="BG1" s="114"/>
      <c r="BH1" s="111"/>
      <c r="BI1" s="111"/>
      <c r="BJ1" s="114"/>
      <c r="BK1" s="114"/>
      <c r="BL1" s="111"/>
      <c r="BM1" s="111"/>
      <c r="BN1" s="114"/>
      <c r="BO1" s="114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</row>
    <row r="2" spans="1:85" x14ac:dyDescent="0.5">
      <c r="A2" s="111" t="s">
        <v>167</v>
      </c>
      <c r="B2" s="111"/>
      <c r="C2" s="111"/>
      <c r="D2" s="111"/>
      <c r="E2" s="111"/>
      <c r="F2" s="114"/>
      <c r="G2" s="114"/>
      <c r="H2" s="111"/>
      <c r="I2" s="111"/>
      <c r="J2" s="114"/>
      <c r="K2" s="114"/>
      <c r="L2" s="111"/>
      <c r="M2" s="111"/>
      <c r="N2" s="114"/>
      <c r="O2" s="114"/>
      <c r="P2" s="111"/>
      <c r="Q2" s="111"/>
      <c r="R2" s="114"/>
      <c r="S2" s="114"/>
      <c r="T2" s="111"/>
      <c r="U2" s="111"/>
      <c r="V2" s="114"/>
      <c r="W2" s="114"/>
      <c r="X2" s="111"/>
      <c r="Y2" s="111"/>
      <c r="Z2" s="114"/>
      <c r="AA2" s="114"/>
      <c r="AB2" s="111"/>
      <c r="AC2" s="111"/>
      <c r="AD2" s="114"/>
      <c r="AE2" s="114"/>
      <c r="AF2" s="111"/>
      <c r="AG2" s="111"/>
      <c r="AH2" s="114"/>
      <c r="AI2" s="114"/>
      <c r="AJ2" s="111"/>
      <c r="AK2" s="111"/>
      <c r="AL2" s="114"/>
      <c r="AM2" s="114"/>
      <c r="AN2" s="111"/>
      <c r="AO2" s="111"/>
      <c r="AP2" s="114"/>
      <c r="AQ2" s="114"/>
      <c r="AR2" s="111"/>
      <c r="AS2" s="111"/>
      <c r="AT2" s="114"/>
      <c r="AU2" s="114"/>
      <c r="AV2" s="111"/>
      <c r="AW2" s="111"/>
      <c r="AX2" s="114"/>
      <c r="AY2" s="114"/>
      <c r="AZ2" s="111"/>
      <c r="BA2" s="111"/>
      <c r="BB2" s="114"/>
      <c r="BC2" s="114"/>
      <c r="BD2" s="111"/>
      <c r="BE2" s="111"/>
      <c r="BF2" s="114"/>
      <c r="BG2" s="114"/>
      <c r="BH2" s="111"/>
      <c r="BI2" s="111"/>
      <c r="BJ2" s="114"/>
      <c r="BK2" s="114"/>
      <c r="BL2" s="111"/>
      <c r="BM2" s="111"/>
      <c r="BN2" s="114"/>
      <c r="BO2" s="114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</row>
    <row r="3" spans="1:85" x14ac:dyDescent="0.5">
      <c r="A3" s="4" t="s">
        <v>168</v>
      </c>
      <c r="B3" s="4"/>
      <c r="C3" s="4"/>
      <c r="D3" s="4"/>
      <c r="E3" s="4"/>
      <c r="F3" s="115"/>
      <c r="G3" s="115"/>
      <c r="H3" s="4"/>
      <c r="I3" s="4"/>
      <c r="J3" s="115"/>
      <c r="K3" s="115"/>
      <c r="L3" s="4"/>
      <c r="M3" s="4"/>
      <c r="N3" s="115"/>
      <c r="O3" s="115"/>
      <c r="P3" s="4"/>
      <c r="Q3" s="4"/>
      <c r="R3" s="115"/>
      <c r="S3" s="115"/>
      <c r="T3" s="4"/>
      <c r="U3" s="4"/>
      <c r="V3" s="115"/>
      <c r="W3" s="115"/>
      <c r="X3" s="4"/>
      <c r="Y3" s="4"/>
      <c r="Z3" s="115"/>
      <c r="AA3" s="115"/>
      <c r="AB3" s="4"/>
      <c r="AC3" s="4"/>
      <c r="AD3" s="115"/>
      <c r="AE3" s="115"/>
      <c r="AF3" s="4"/>
      <c r="AG3" s="4"/>
      <c r="AH3" s="115"/>
      <c r="AI3" s="115"/>
      <c r="AJ3" s="4"/>
      <c r="AK3" s="4"/>
      <c r="AL3" s="115"/>
      <c r="AM3" s="115"/>
      <c r="AN3" s="4"/>
      <c r="AO3" s="4"/>
      <c r="AP3" s="115"/>
      <c r="AQ3" s="115"/>
      <c r="AR3" s="4"/>
      <c r="AS3" s="4"/>
      <c r="AT3" s="115"/>
      <c r="AU3" s="115"/>
      <c r="AV3" s="4"/>
      <c r="AW3" s="4"/>
      <c r="AX3" s="115"/>
      <c r="AY3" s="116"/>
      <c r="AZ3" s="4"/>
      <c r="BA3" s="4"/>
      <c r="BB3" s="115"/>
      <c r="BC3" s="116"/>
      <c r="BD3" s="4"/>
      <c r="BE3" s="4"/>
      <c r="BF3" s="115"/>
      <c r="BG3" s="116"/>
      <c r="BH3" s="4"/>
      <c r="BI3" s="4"/>
      <c r="BJ3" s="115"/>
      <c r="BK3" s="116"/>
      <c r="BL3" s="4"/>
      <c r="BM3" s="4"/>
      <c r="BN3" s="115"/>
      <c r="BO3" s="116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</row>
    <row r="4" spans="1:85" s="57" customFormat="1" x14ac:dyDescent="0.5">
      <c r="A4" s="317" t="s">
        <v>146</v>
      </c>
      <c r="B4" s="324" t="s">
        <v>29</v>
      </c>
      <c r="C4" s="317" t="s">
        <v>95</v>
      </c>
      <c r="D4" s="314" t="s">
        <v>30</v>
      </c>
      <c r="E4" s="314"/>
      <c r="F4" s="325">
        <v>21336</v>
      </c>
      <c r="G4" s="322"/>
      <c r="H4" s="314" t="s">
        <v>9</v>
      </c>
      <c r="I4" s="314"/>
      <c r="J4" s="325">
        <v>21366</v>
      </c>
      <c r="K4" s="322"/>
      <c r="L4" s="314" t="s">
        <v>9</v>
      </c>
      <c r="M4" s="314"/>
      <c r="N4" s="325">
        <v>21397</v>
      </c>
      <c r="O4" s="322"/>
      <c r="P4" s="314" t="s">
        <v>9</v>
      </c>
      <c r="Q4" s="314"/>
      <c r="R4" s="325">
        <v>21428</v>
      </c>
      <c r="S4" s="322"/>
      <c r="T4" s="314" t="s">
        <v>9</v>
      </c>
      <c r="U4" s="314"/>
      <c r="V4" s="325">
        <v>21458</v>
      </c>
      <c r="W4" s="322"/>
      <c r="X4" s="314" t="s">
        <v>9</v>
      </c>
      <c r="Y4" s="314"/>
      <c r="Z4" s="325">
        <v>21489</v>
      </c>
      <c r="AA4" s="322"/>
      <c r="AB4" s="314" t="s">
        <v>9</v>
      </c>
      <c r="AC4" s="314"/>
      <c r="AD4" s="325">
        <v>21519</v>
      </c>
      <c r="AE4" s="322"/>
      <c r="AF4" s="314" t="s">
        <v>9</v>
      </c>
      <c r="AG4" s="314"/>
      <c r="AH4" s="325">
        <v>21550</v>
      </c>
      <c r="AI4" s="322"/>
      <c r="AJ4" s="314" t="s">
        <v>9</v>
      </c>
      <c r="AK4" s="314"/>
      <c r="AL4" s="325">
        <v>21581</v>
      </c>
      <c r="AM4" s="322"/>
      <c r="AN4" s="314" t="s">
        <v>9</v>
      </c>
      <c r="AO4" s="314"/>
      <c r="AP4" s="325">
        <v>21607</v>
      </c>
      <c r="AQ4" s="322"/>
      <c r="AR4" s="314" t="s">
        <v>9</v>
      </c>
      <c r="AS4" s="314"/>
      <c r="AT4" s="325">
        <v>240784</v>
      </c>
      <c r="AU4" s="322"/>
      <c r="AV4" s="326" t="s">
        <v>9</v>
      </c>
      <c r="AW4" s="327"/>
      <c r="AX4" s="325">
        <v>21670</v>
      </c>
      <c r="AY4" s="322"/>
      <c r="AZ4" s="314" t="s">
        <v>31</v>
      </c>
      <c r="BA4" s="314"/>
      <c r="BB4" s="325">
        <v>21701</v>
      </c>
      <c r="BC4" s="322"/>
      <c r="BD4" s="314" t="s">
        <v>31</v>
      </c>
      <c r="BE4" s="314"/>
      <c r="BF4" s="325">
        <v>21728</v>
      </c>
      <c r="BG4" s="322"/>
      <c r="BH4" s="314" t="s">
        <v>31</v>
      </c>
      <c r="BI4" s="314"/>
      <c r="BJ4" s="325">
        <v>21751</v>
      </c>
      <c r="BK4" s="322"/>
      <c r="BL4" s="314" t="s">
        <v>31</v>
      </c>
      <c r="BM4" s="314"/>
      <c r="BN4" s="325">
        <v>21787</v>
      </c>
      <c r="BO4" s="322"/>
      <c r="BP4" s="314" t="s">
        <v>31</v>
      </c>
      <c r="BQ4" s="314"/>
      <c r="BR4" s="313" t="s">
        <v>32</v>
      </c>
      <c r="BS4" s="314"/>
      <c r="BT4" s="314" t="s">
        <v>33</v>
      </c>
      <c r="BU4" s="314"/>
      <c r="BV4" s="314" t="s">
        <v>34</v>
      </c>
      <c r="BW4" s="314"/>
      <c r="BX4" s="314"/>
      <c r="BY4" s="314"/>
      <c r="BZ4" s="314" t="s">
        <v>35</v>
      </c>
      <c r="CA4" s="314"/>
      <c r="CB4" s="314" t="s">
        <v>36</v>
      </c>
      <c r="CC4" s="314"/>
      <c r="CD4" s="314" t="s">
        <v>19</v>
      </c>
      <c r="CE4" s="314"/>
      <c r="CF4" s="314" t="s">
        <v>37</v>
      </c>
      <c r="CG4" s="314"/>
    </row>
    <row r="5" spans="1:85" s="57" customFormat="1" x14ac:dyDescent="0.5">
      <c r="A5" s="318"/>
      <c r="B5" s="324"/>
      <c r="C5" s="318"/>
      <c r="D5" s="314"/>
      <c r="E5" s="314"/>
      <c r="F5" s="322"/>
      <c r="G5" s="322"/>
      <c r="H5" s="314"/>
      <c r="I5" s="314"/>
      <c r="J5" s="322"/>
      <c r="K5" s="322"/>
      <c r="L5" s="314"/>
      <c r="M5" s="314"/>
      <c r="N5" s="322"/>
      <c r="O5" s="322"/>
      <c r="P5" s="314"/>
      <c r="Q5" s="314"/>
      <c r="R5" s="322"/>
      <c r="S5" s="322"/>
      <c r="T5" s="314"/>
      <c r="U5" s="314"/>
      <c r="V5" s="322"/>
      <c r="W5" s="322"/>
      <c r="X5" s="314"/>
      <c r="Y5" s="314"/>
      <c r="Z5" s="322"/>
      <c r="AA5" s="322"/>
      <c r="AB5" s="314"/>
      <c r="AC5" s="314"/>
      <c r="AD5" s="322"/>
      <c r="AE5" s="322"/>
      <c r="AF5" s="314"/>
      <c r="AG5" s="314"/>
      <c r="AH5" s="322"/>
      <c r="AI5" s="322"/>
      <c r="AJ5" s="314"/>
      <c r="AK5" s="314"/>
      <c r="AL5" s="322"/>
      <c r="AM5" s="322"/>
      <c r="AN5" s="314"/>
      <c r="AO5" s="314"/>
      <c r="AP5" s="322"/>
      <c r="AQ5" s="322"/>
      <c r="AR5" s="314"/>
      <c r="AS5" s="314"/>
      <c r="AT5" s="322"/>
      <c r="AU5" s="322"/>
      <c r="AV5" s="328"/>
      <c r="AW5" s="329"/>
      <c r="AX5" s="322"/>
      <c r="AY5" s="322"/>
      <c r="AZ5" s="314"/>
      <c r="BA5" s="314"/>
      <c r="BB5" s="322"/>
      <c r="BC5" s="322"/>
      <c r="BD5" s="314"/>
      <c r="BE5" s="314"/>
      <c r="BF5" s="322"/>
      <c r="BG5" s="322"/>
      <c r="BH5" s="314"/>
      <c r="BI5" s="314"/>
      <c r="BJ5" s="322"/>
      <c r="BK5" s="322"/>
      <c r="BL5" s="314"/>
      <c r="BM5" s="314"/>
      <c r="BN5" s="322"/>
      <c r="BO5" s="322"/>
      <c r="BP5" s="314"/>
      <c r="BQ5" s="314"/>
      <c r="BR5" s="314"/>
      <c r="BS5" s="314"/>
      <c r="BT5" s="314"/>
      <c r="BU5" s="314"/>
      <c r="BV5" s="314"/>
      <c r="BW5" s="314"/>
      <c r="BX5" s="314"/>
      <c r="BY5" s="314"/>
      <c r="BZ5" s="314"/>
      <c r="CA5" s="314"/>
      <c r="CB5" s="314"/>
      <c r="CC5" s="314"/>
      <c r="CD5" s="314"/>
      <c r="CE5" s="314"/>
      <c r="CF5" s="314"/>
      <c r="CG5" s="314"/>
    </row>
    <row r="6" spans="1:85" s="57" customFormat="1" x14ac:dyDescent="0.5">
      <c r="A6" s="5" t="s">
        <v>147</v>
      </c>
      <c r="B6" s="324"/>
      <c r="C6" s="5" t="s">
        <v>96</v>
      </c>
      <c r="D6" s="58" t="s">
        <v>38</v>
      </c>
      <c r="E6" s="58" t="s">
        <v>39</v>
      </c>
      <c r="F6" s="89" t="s">
        <v>38</v>
      </c>
      <c r="G6" s="89" t="s">
        <v>39</v>
      </c>
      <c r="H6" s="58" t="s">
        <v>38</v>
      </c>
      <c r="I6" s="58" t="s">
        <v>39</v>
      </c>
      <c r="J6" s="89" t="s">
        <v>38</v>
      </c>
      <c r="K6" s="89" t="s">
        <v>39</v>
      </c>
      <c r="L6" s="58" t="s">
        <v>38</v>
      </c>
      <c r="M6" s="58" t="s">
        <v>39</v>
      </c>
      <c r="N6" s="89" t="s">
        <v>38</v>
      </c>
      <c r="O6" s="89" t="s">
        <v>39</v>
      </c>
      <c r="P6" s="58" t="s">
        <v>38</v>
      </c>
      <c r="Q6" s="58" t="s">
        <v>39</v>
      </c>
      <c r="R6" s="89" t="s">
        <v>38</v>
      </c>
      <c r="S6" s="89" t="s">
        <v>39</v>
      </c>
      <c r="T6" s="58" t="s">
        <v>38</v>
      </c>
      <c r="U6" s="58" t="s">
        <v>39</v>
      </c>
      <c r="V6" s="89" t="s">
        <v>38</v>
      </c>
      <c r="W6" s="89" t="s">
        <v>39</v>
      </c>
      <c r="X6" s="58" t="s">
        <v>38</v>
      </c>
      <c r="Y6" s="58" t="s">
        <v>39</v>
      </c>
      <c r="Z6" s="89" t="s">
        <v>38</v>
      </c>
      <c r="AA6" s="89" t="s">
        <v>39</v>
      </c>
      <c r="AB6" s="58" t="s">
        <v>38</v>
      </c>
      <c r="AC6" s="58" t="s">
        <v>39</v>
      </c>
      <c r="AD6" s="89" t="s">
        <v>38</v>
      </c>
      <c r="AE6" s="89" t="s">
        <v>39</v>
      </c>
      <c r="AF6" s="58" t="s">
        <v>38</v>
      </c>
      <c r="AG6" s="58" t="s">
        <v>39</v>
      </c>
      <c r="AH6" s="89" t="s">
        <v>38</v>
      </c>
      <c r="AI6" s="89" t="s">
        <v>39</v>
      </c>
      <c r="AJ6" s="58" t="s">
        <v>38</v>
      </c>
      <c r="AK6" s="58" t="s">
        <v>39</v>
      </c>
      <c r="AL6" s="89" t="s">
        <v>38</v>
      </c>
      <c r="AM6" s="89" t="s">
        <v>39</v>
      </c>
      <c r="AN6" s="58" t="s">
        <v>38</v>
      </c>
      <c r="AO6" s="58" t="s">
        <v>39</v>
      </c>
      <c r="AP6" s="89" t="s">
        <v>38</v>
      </c>
      <c r="AQ6" s="89" t="s">
        <v>39</v>
      </c>
      <c r="AR6" s="58" t="s">
        <v>38</v>
      </c>
      <c r="AS6" s="58" t="s">
        <v>39</v>
      </c>
      <c r="AT6" s="89" t="s">
        <v>38</v>
      </c>
      <c r="AU6" s="89" t="s">
        <v>39</v>
      </c>
      <c r="AV6" s="58" t="s">
        <v>38</v>
      </c>
      <c r="AW6" s="58" t="s">
        <v>39</v>
      </c>
      <c r="AX6" s="89" t="s">
        <v>38</v>
      </c>
      <c r="AY6" s="89" t="s">
        <v>39</v>
      </c>
      <c r="AZ6" s="58" t="s">
        <v>38</v>
      </c>
      <c r="BA6" s="58" t="s">
        <v>39</v>
      </c>
      <c r="BB6" s="89" t="s">
        <v>38</v>
      </c>
      <c r="BC6" s="89" t="s">
        <v>39</v>
      </c>
      <c r="BD6" s="58" t="s">
        <v>38</v>
      </c>
      <c r="BE6" s="58" t="s">
        <v>39</v>
      </c>
      <c r="BF6" s="89" t="s">
        <v>38</v>
      </c>
      <c r="BG6" s="89" t="s">
        <v>39</v>
      </c>
      <c r="BH6" s="58" t="s">
        <v>38</v>
      </c>
      <c r="BI6" s="58" t="s">
        <v>39</v>
      </c>
      <c r="BJ6" s="89" t="s">
        <v>38</v>
      </c>
      <c r="BK6" s="89" t="s">
        <v>39</v>
      </c>
      <c r="BL6" s="58" t="s">
        <v>38</v>
      </c>
      <c r="BM6" s="58" t="s">
        <v>39</v>
      </c>
      <c r="BN6" s="89" t="s">
        <v>38</v>
      </c>
      <c r="BO6" s="89" t="s">
        <v>39</v>
      </c>
      <c r="BP6" s="58" t="s">
        <v>38</v>
      </c>
      <c r="BQ6" s="58" t="s">
        <v>39</v>
      </c>
      <c r="BR6" s="58" t="s">
        <v>38</v>
      </c>
      <c r="BS6" s="58" t="s">
        <v>39</v>
      </c>
      <c r="BT6" s="58" t="s">
        <v>38</v>
      </c>
      <c r="BU6" s="58" t="s">
        <v>39</v>
      </c>
      <c r="BV6" s="59"/>
      <c r="BW6" s="58" t="s">
        <v>38</v>
      </c>
      <c r="BX6" s="58"/>
      <c r="BY6" s="58" t="s">
        <v>39</v>
      </c>
      <c r="BZ6" s="58" t="s">
        <v>38</v>
      </c>
      <c r="CA6" s="58" t="s">
        <v>39</v>
      </c>
      <c r="CB6" s="58" t="s">
        <v>38</v>
      </c>
      <c r="CC6" s="58" t="s">
        <v>39</v>
      </c>
      <c r="CD6" s="58" t="s">
        <v>38</v>
      </c>
      <c r="CE6" s="58" t="s">
        <v>39</v>
      </c>
      <c r="CF6" s="58" t="s">
        <v>38</v>
      </c>
      <c r="CG6" s="58" t="s">
        <v>39</v>
      </c>
    </row>
    <row r="7" spans="1:85" ht="24" x14ac:dyDescent="0.55000000000000004">
      <c r="A7" s="61">
        <v>1</v>
      </c>
      <c r="B7" s="80" t="s">
        <v>1</v>
      </c>
      <c r="C7" s="61">
        <v>5</v>
      </c>
      <c r="D7" s="62">
        <f>+'กระดาษทำการ 30 เม.ย.58'!BP10</f>
        <v>57465.259999999776</v>
      </c>
      <c r="E7" s="62">
        <f>+'กระดาษทำการ 30 เม.ย.58'!BQ10</f>
        <v>0</v>
      </c>
      <c r="F7" s="118">
        <f>270000+25430</f>
        <v>295430</v>
      </c>
      <c r="G7" s="118">
        <f>15511+500+15100+6625+10000+288000+12176+1300+1000+500</f>
        <v>350712</v>
      </c>
      <c r="H7" s="62">
        <f>+D7+F7-G7</f>
        <v>2183.2599999997765</v>
      </c>
      <c r="I7" s="62"/>
      <c r="J7" s="119">
        <f>37077.83+30000</f>
        <v>67077.83</v>
      </c>
      <c r="K7" s="119">
        <f>21967.96+30188+750+500+750+500+2818.69</f>
        <v>57474.65</v>
      </c>
      <c r="L7" s="62">
        <f>+H7+J7-K7</f>
        <v>11786.439999999777</v>
      </c>
      <c r="M7" s="62"/>
      <c r="N7" s="119">
        <f>900+1000+350595.94+420</f>
        <v>352915.94</v>
      </c>
      <c r="O7" s="119">
        <f>7570+3318.69+322400+8432+7370</f>
        <v>349090.69</v>
      </c>
      <c r="P7" s="62">
        <f>+L7+N7-O7</f>
        <v>15611.689999999769</v>
      </c>
      <c r="Q7" s="62"/>
      <c r="R7" s="92">
        <f>30000+700+1500</f>
        <v>32200</v>
      </c>
      <c r="S7" s="92">
        <f>14043+610+520+8270+205</f>
        <v>23648</v>
      </c>
      <c r="T7" s="62">
        <f>+P7+R7-S7</f>
        <v>24163.689999999769</v>
      </c>
      <c r="U7" s="62"/>
      <c r="V7" s="92">
        <v>14740</v>
      </c>
      <c r="W7" s="92">
        <f>47+130+1000+8970+700+1140</f>
        <v>11987</v>
      </c>
      <c r="X7" s="62">
        <f>+T7+V7-W7</f>
        <v>26916.689999999769</v>
      </c>
      <c r="Y7" s="62"/>
      <c r="Z7" s="120">
        <f>60+186494.17+100+100</f>
        <v>186754.17</v>
      </c>
      <c r="AA7" s="121">
        <f>14740+1618.69+500+870+157643.95+900+16781+1100</f>
        <v>194153.64</v>
      </c>
      <c r="AB7" s="62">
        <f>+X7+Z7-AA7</f>
        <v>19517.219999999768</v>
      </c>
      <c r="AC7" s="62"/>
      <c r="AD7" s="92">
        <f>29581.16+27026.98+3500+20+16000+290+1000</f>
        <v>77418.14</v>
      </c>
      <c r="AE7" s="92">
        <f>10000+46000+1700+5000+15310+500+1500+400+400+11580</f>
        <v>92390</v>
      </c>
      <c r="AF7" s="62">
        <f>+AB7+AD7-AE7</f>
        <v>4545.3599999997678</v>
      </c>
      <c r="AG7" s="62"/>
      <c r="AH7" s="90">
        <f>50000+790+1000+400+1500</f>
        <v>53690</v>
      </c>
      <c r="AI7" s="90">
        <f>30150+330+816.69+300</f>
        <v>31596.69</v>
      </c>
      <c r="AJ7" s="62">
        <f>+AF7+AH7-AI7</f>
        <v>26638.669999999769</v>
      </c>
      <c r="AK7" s="62"/>
      <c r="AL7" s="90">
        <f>39263.4+88305.63+347335.16+356566.8+1000+429.68+21700</f>
        <v>854600.67</v>
      </c>
      <c r="AM7" s="90">
        <f>38270+84900+346200+352900+1190+40+20300</f>
        <v>843800</v>
      </c>
      <c r="AN7" s="62">
        <f>+AJ7+AL7-AM7</f>
        <v>37439.339999999851</v>
      </c>
      <c r="AO7" s="62"/>
      <c r="AP7" s="90">
        <v>564628.1</v>
      </c>
      <c r="AQ7" s="90">
        <f>568880+300</f>
        <v>569180</v>
      </c>
      <c r="AR7" s="62">
        <f>+AN7+AP7-AQ7</f>
        <v>32887.439999999828</v>
      </c>
      <c r="AS7" s="62"/>
      <c r="AT7" s="92">
        <f>334073.07+5291.79+459965.95+500+4090</f>
        <v>803920.81</v>
      </c>
      <c r="AU7" s="92">
        <f>525+20+334462.73+300+500+459970+475+600</f>
        <v>796852.73</v>
      </c>
      <c r="AV7" s="62">
        <f>+AR7+AT7-AU7</f>
        <v>39955.519999999902</v>
      </c>
      <c r="AW7" s="62"/>
      <c r="AX7" s="90">
        <f>97000.25+707612.59+970.18+183625.64+177289.57+6220.73</f>
        <v>1172718.96</v>
      </c>
      <c r="AY7" s="90">
        <f>108280.63+697417+675+810+180825+174720.09+1810.36</f>
        <v>1164538.08</v>
      </c>
      <c r="AZ7" s="62">
        <f>+AV7+AX7-AY7</f>
        <v>48136.399999999907</v>
      </c>
      <c r="BA7" s="62"/>
      <c r="BB7" s="90">
        <v>68312.240000000005</v>
      </c>
      <c r="BC7" s="90">
        <v>75171.100000000006</v>
      </c>
      <c r="BD7" s="62">
        <f>+AZ7+BB7-BC7</f>
        <v>41277.539999999906</v>
      </c>
      <c r="BE7" s="62"/>
      <c r="BF7" s="90">
        <v>2190</v>
      </c>
      <c r="BG7" s="90">
        <v>15480</v>
      </c>
      <c r="BH7" s="62">
        <f>+BD7+BF7-BG7</f>
        <v>27987.539999999906</v>
      </c>
      <c r="BI7" s="62"/>
      <c r="BJ7" s="90">
        <v>33840</v>
      </c>
      <c r="BK7" s="90">
        <v>36690</v>
      </c>
      <c r="BL7" s="62">
        <f>+BH7+BJ7-BK7</f>
        <v>25137.539999999906</v>
      </c>
      <c r="BM7" s="62"/>
      <c r="BN7" s="90">
        <v>40148.49</v>
      </c>
      <c r="BO7" s="90">
        <v>39168</v>
      </c>
      <c r="BP7" s="62">
        <f>+BL7+BN7-BO7</f>
        <v>26118.029999999904</v>
      </c>
      <c r="BQ7" s="62"/>
      <c r="BR7" s="62"/>
      <c r="BS7" s="62"/>
      <c r="BT7" s="63">
        <f>D7+BR7-BS7</f>
        <v>57465.259999999776</v>
      </c>
      <c r="BU7" s="62"/>
      <c r="BV7" s="25"/>
      <c r="BW7" s="26"/>
      <c r="BX7" s="20"/>
      <c r="BY7" s="26"/>
      <c r="BZ7" s="26">
        <f>BT7+BW7-BY7</f>
        <v>57465.259999999776</v>
      </c>
      <c r="CA7" s="26"/>
      <c r="CB7" s="26"/>
      <c r="CC7" s="26"/>
      <c r="CD7" s="26"/>
      <c r="CE7" s="26"/>
      <c r="CF7" s="26">
        <f>BZ7</f>
        <v>57465.259999999776</v>
      </c>
      <c r="CG7" s="26"/>
    </row>
    <row r="8" spans="1:85" ht="24" x14ac:dyDescent="0.55000000000000004">
      <c r="A8" s="61">
        <v>2</v>
      </c>
      <c r="B8" s="81" t="s">
        <v>40</v>
      </c>
      <c r="C8" s="67">
        <v>22</v>
      </c>
      <c r="D8" s="68">
        <f>+'กระดาษทำการ 30 เม.ย.58'!BP11</f>
        <v>349807.45999999973</v>
      </c>
      <c r="E8" s="68">
        <f>+'กระดาษทำการ 30 เม.ย.58'!BQ11</f>
        <v>0</v>
      </c>
      <c r="F8" s="119">
        <f>15100+14800</f>
        <v>29900</v>
      </c>
      <c r="G8" s="119">
        <v>270000</v>
      </c>
      <c r="H8" s="62">
        <f t="shared" ref="H8:H74" si="0">+D8+F8-G8</f>
        <v>109707.45999999973</v>
      </c>
      <c r="I8" s="68"/>
      <c r="J8" s="119">
        <f>7370+7370</f>
        <v>14740</v>
      </c>
      <c r="K8" s="119">
        <v>30000</v>
      </c>
      <c r="L8" s="62">
        <f>+H8+J8-K8</f>
        <v>94447.45999999973</v>
      </c>
      <c r="M8" s="68"/>
      <c r="N8" s="119">
        <f>7370+7370</f>
        <v>14740</v>
      </c>
      <c r="O8" s="119"/>
      <c r="P8" s="62">
        <f>+L8+N8-O8</f>
        <v>109187.45999999973</v>
      </c>
      <c r="Q8" s="68"/>
      <c r="R8" s="92"/>
      <c r="S8" s="92">
        <v>30000</v>
      </c>
      <c r="T8" s="62">
        <f>+P8+R8-S8</f>
        <v>79187.45999999973</v>
      </c>
      <c r="U8" s="68"/>
      <c r="V8" s="92">
        <v>413.88</v>
      </c>
      <c r="W8" s="92"/>
      <c r="X8" s="62">
        <f>+T8+V8-W8</f>
        <v>79601.339999999735</v>
      </c>
      <c r="Y8" s="68"/>
      <c r="Z8" s="120">
        <f>7370+7370+60000+7370</f>
        <v>82110</v>
      </c>
      <c r="AA8" s="122"/>
      <c r="AB8" s="62">
        <f t="shared" ref="AB8:AB35" si="1">+X8+Z8-AA8</f>
        <v>161711.33999999973</v>
      </c>
      <c r="AC8" s="68"/>
      <c r="AD8" s="92"/>
      <c r="AE8" s="92"/>
      <c r="AF8" s="62">
        <f t="shared" ref="AF8:AF35" si="2">+AB8+AD8-AE8</f>
        <v>161711.33999999973</v>
      </c>
      <c r="AG8" s="68"/>
      <c r="AH8" s="91"/>
      <c r="AI8" s="91">
        <v>50000</v>
      </c>
      <c r="AJ8" s="62">
        <f>+AF8+AH8-AI8</f>
        <v>111711.33999999973</v>
      </c>
      <c r="AK8" s="68"/>
      <c r="AL8" s="91">
        <f>30000+75000+80000+30000+20000</f>
        <v>235000</v>
      </c>
      <c r="AM8" s="91">
        <v>235000</v>
      </c>
      <c r="AN8" s="68">
        <f>+AJ8+AL8-AM8</f>
        <v>111711.33999999973</v>
      </c>
      <c r="AO8" s="68"/>
      <c r="AP8" s="91"/>
      <c r="AQ8" s="91"/>
      <c r="AR8" s="62">
        <f t="shared" ref="AR8:AR36" si="3">+AN8+AP8-AQ8</f>
        <v>111711.33999999973</v>
      </c>
      <c r="AS8" s="68"/>
      <c r="AT8" s="91">
        <f>31620+11280+22560+8200+315.8</f>
        <v>73975.8</v>
      </c>
      <c r="AU8" s="91"/>
      <c r="AV8" s="62">
        <f t="shared" ref="AV8:AV36" si="4">+AR8+AT8-AU8</f>
        <v>185687.13999999972</v>
      </c>
      <c r="AW8" s="68"/>
      <c r="AX8" s="91">
        <f>67461+36617+70000+11280</f>
        <v>185358</v>
      </c>
      <c r="AY8" s="91"/>
      <c r="AZ8" s="62">
        <f t="shared" ref="AZ8:AZ35" si="5">+AV8+AX8-AY8</f>
        <v>371045.13999999972</v>
      </c>
      <c r="BA8" s="68"/>
      <c r="BB8" s="91"/>
      <c r="BC8" s="91">
        <v>50000</v>
      </c>
      <c r="BD8" s="62">
        <f t="shared" ref="BD8:BD35" si="6">+AZ8+BB8-BC8</f>
        <v>321045.13999999972</v>
      </c>
      <c r="BE8" s="68"/>
      <c r="BF8" s="91">
        <v>11280</v>
      </c>
      <c r="BG8" s="91"/>
      <c r="BH8" s="62">
        <f t="shared" ref="BH8:BH35" si="7">+BD8+BF8-BG8</f>
        <v>332325.13999999972</v>
      </c>
      <c r="BI8" s="68"/>
      <c r="BJ8" s="91">
        <v>11280</v>
      </c>
      <c r="BK8" s="91"/>
      <c r="BL8" s="62">
        <f t="shared" ref="BL8:BL35" si="8">+BH8+BJ8-BK8</f>
        <v>343605.13999999972</v>
      </c>
      <c r="BM8" s="68"/>
      <c r="BN8" s="91">
        <v>22965</v>
      </c>
      <c r="BO8" s="91"/>
      <c r="BP8" s="62">
        <f t="shared" ref="BP8:BP35" si="9">+BL8+BN8-BO8</f>
        <v>366570.13999999972</v>
      </c>
      <c r="BQ8" s="68"/>
      <c r="BR8" s="68"/>
      <c r="BS8" s="68"/>
      <c r="BT8" s="68">
        <f>D8+BR8-BS8</f>
        <v>349807.45999999973</v>
      </c>
      <c r="BU8" s="68"/>
      <c r="BV8" s="31">
        <v>1</v>
      </c>
      <c r="BW8" s="32">
        <v>667.49</v>
      </c>
      <c r="BX8" s="27"/>
      <c r="BY8" s="32"/>
      <c r="BZ8" s="32">
        <f>BT8+BW8-BY8</f>
        <v>350474.94999999972</v>
      </c>
      <c r="CA8" s="32"/>
      <c r="CB8" s="32"/>
      <c r="CC8" s="32"/>
      <c r="CD8" s="32"/>
      <c r="CE8" s="32"/>
      <c r="CF8" s="32">
        <f>BZ8</f>
        <v>350474.94999999972</v>
      </c>
      <c r="CG8" s="32"/>
    </row>
    <row r="9" spans="1:85" x14ac:dyDescent="0.5">
      <c r="A9" s="61">
        <v>3</v>
      </c>
      <c r="B9" s="81" t="s">
        <v>42</v>
      </c>
      <c r="C9" s="67">
        <v>33</v>
      </c>
      <c r="D9" s="68">
        <f>+'กระดาษทำการ 30 เม.ย.58'!BP13</f>
        <v>574.27999999999986</v>
      </c>
      <c r="E9" s="68">
        <f>+'กระดาษทำการ 30 เม.ย.58'!BQ13</f>
        <v>0</v>
      </c>
      <c r="F9" s="91"/>
      <c r="G9" s="91"/>
      <c r="H9" s="62">
        <f t="shared" si="0"/>
        <v>574.27999999999986</v>
      </c>
      <c r="I9" s="68"/>
      <c r="J9" s="91"/>
      <c r="K9" s="91"/>
      <c r="L9" s="62">
        <f t="shared" ref="L9:L17" si="10">+H9+J9-K9</f>
        <v>574.27999999999986</v>
      </c>
      <c r="M9" s="68"/>
      <c r="N9" s="91"/>
      <c r="O9" s="91"/>
      <c r="P9" s="62">
        <f t="shared" ref="P9:P31" si="11">+L9+N9-O9</f>
        <v>574.27999999999986</v>
      </c>
      <c r="Q9" s="68"/>
      <c r="R9" s="91"/>
      <c r="S9" s="91"/>
      <c r="T9" s="62">
        <f>+P9+R9-S9</f>
        <v>574.27999999999986</v>
      </c>
      <c r="U9" s="68"/>
      <c r="V9" s="91"/>
      <c r="W9" s="91"/>
      <c r="X9" s="62">
        <f>+T9+V9-W9</f>
        <v>574.27999999999986</v>
      </c>
      <c r="Y9" s="68"/>
      <c r="Z9" s="91"/>
      <c r="AA9" s="91"/>
      <c r="AB9" s="62">
        <f t="shared" si="1"/>
        <v>574.27999999999986</v>
      </c>
      <c r="AC9" s="68"/>
      <c r="AD9" s="91"/>
      <c r="AE9" s="91"/>
      <c r="AF9" s="62">
        <f t="shared" si="2"/>
        <v>574.27999999999986</v>
      </c>
      <c r="AG9" s="68"/>
      <c r="AH9" s="91"/>
      <c r="AI9" s="91"/>
      <c r="AJ9" s="62">
        <f t="shared" ref="AJ9:AJ35" si="12">+AF9+AH9-AI9</f>
        <v>574.27999999999986</v>
      </c>
      <c r="AK9" s="68"/>
      <c r="AL9" s="91"/>
      <c r="AM9" s="91"/>
      <c r="AN9" s="68">
        <f t="shared" ref="AN9:AN11" si="13">+AJ9+AL9-AM9</f>
        <v>574.27999999999986</v>
      </c>
      <c r="AO9" s="68"/>
      <c r="AP9" s="91"/>
      <c r="AQ9" s="91"/>
      <c r="AR9" s="62">
        <f t="shared" si="3"/>
        <v>574.27999999999986</v>
      </c>
      <c r="AS9" s="68"/>
      <c r="AT9" s="91"/>
      <c r="AU9" s="91"/>
      <c r="AV9" s="62">
        <f t="shared" si="4"/>
        <v>574.27999999999986</v>
      </c>
      <c r="AW9" s="68"/>
      <c r="AX9" s="91"/>
      <c r="AY9" s="91"/>
      <c r="AZ9" s="62">
        <f t="shared" si="5"/>
        <v>574.27999999999986</v>
      </c>
      <c r="BA9" s="68"/>
      <c r="BB9" s="91"/>
      <c r="BC9" s="91"/>
      <c r="BD9" s="62">
        <f t="shared" si="6"/>
        <v>574.27999999999986</v>
      </c>
      <c r="BE9" s="68"/>
      <c r="BF9" s="91"/>
      <c r="BG9" s="91"/>
      <c r="BH9" s="62">
        <f t="shared" si="7"/>
        <v>574.27999999999986</v>
      </c>
      <c r="BI9" s="68"/>
      <c r="BJ9" s="91"/>
      <c r="BK9" s="91"/>
      <c r="BL9" s="62">
        <f t="shared" si="8"/>
        <v>574.27999999999986</v>
      </c>
      <c r="BM9" s="68"/>
      <c r="BN9" s="91"/>
      <c r="BO9" s="91"/>
      <c r="BP9" s="62">
        <f t="shared" si="9"/>
        <v>574.27999999999986</v>
      </c>
      <c r="BQ9" s="68"/>
      <c r="BR9" s="68"/>
      <c r="BS9" s="68"/>
      <c r="BT9" s="68">
        <f>D9+BR9-BS9</f>
        <v>574.27999999999986</v>
      </c>
      <c r="BU9" s="68"/>
      <c r="BV9" s="31">
        <v>1</v>
      </c>
      <c r="BW9" s="32">
        <v>1.43</v>
      </c>
      <c r="BX9" s="27"/>
      <c r="BY9" s="32"/>
      <c r="BZ9" s="32">
        <f>BT9+BW9-BY9</f>
        <v>575.70999999999981</v>
      </c>
      <c r="CA9" s="32"/>
      <c r="CB9" s="32"/>
      <c r="CC9" s="32"/>
      <c r="CD9" s="32"/>
      <c r="CE9" s="32"/>
      <c r="CF9" s="32">
        <f>BZ9</f>
        <v>575.70999999999981</v>
      </c>
      <c r="CG9" s="32"/>
    </row>
    <row r="10" spans="1:85" x14ac:dyDescent="0.5">
      <c r="A10" s="61">
        <v>4</v>
      </c>
      <c r="B10" s="81" t="s">
        <v>170</v>
      </c>
      <c r="C10" s="67">
        <v>37</v>
      </c>
      <c r="D10" s="68">
        <f>+'กระดาษทำการ 30 เม.ย.58'!BP14</f>
        <v>8185.4</v>
      </c>
      <c r="E10" s="68">
        <f>+'กระดาษทำการ 30 เม.ย.58'!BQ14</f>
        <v>0</v>
      </c>
      <c r="F10" s="91"/>
      <c r="G10" s="91"/>
      <c r="H10" s="62">
        <f t="shared" si="0"/>
        <v>8185.4</v>
      </c>
      <c r="I10" s="68"/>
      <c r="J10" s="91"/>
      <c r="K10" s="91"/>
      <c r="L10" s="62">
        <f t="shared" si="10"/>
        <v>8185.4</v>
      </c>
      <c r="M10" s="68"/>
      <c r="N10" s="91"/>
      <c r="O10" s="91"/>
      <c r="P10" s="62">
        <f t="shared" si="11"/>
        <v>8185.4</v>
      </c>
      <c r="Q10" s="68"/>
      <c r="R10" s="91"/>
      <c r="S10" s="91"/>
      <c r="T10" s="62">
        <f>+P10+R10-S10</f>
        <v>8185.4</v>
      </c>
      <c r="U10" s="68"/>
      <c r="V10" s="91"/>
      <c r="W10" s="91"/>
      <c r="X10" s="62">
        <f>+T10+V10-W10</f>
        <v>8185.4</v>
      </c>
      <c r="Y10" s="68"/>
      <c r="Z10" s="91"/>
      <c r="AA10" s="91"/>
      <c r="AB10" s="62">
        <f t="shared" si="1"/>
        <v>8185.4</v>
      </c>
      <c r="AC10" s="68"/>
      <c r="AD10" s="91"/>
      <c r="AE10" s="91"/>
      <c r="AF10" s="62">
        <f t="shared" si="2"/>
        <v>8185.4</v>
      </c>
      <c r="AG10" s="68"/>
      <c r="AH10" s="91"/>
      <c r="AI10" s="91"/>
      <c r="AJ10" s="62">
        <f t="shared" si="12"/>
        <v>8185.4</v>
      </c>
      <c r="AK10" s="68"/>
      <c r="AL10" s="91"/>
      <c r="AM10" s="91"/>
      <c r="AN10" s="68">
        <f t="shared" si="13"/>
        <v>8185.4</v>
      </c>
      <c r="AO10" s="68"/>
      <c r="AP10" s="91"/>
      <c r="AQ10" s="91"/>
      <c r="AR10" s="62">
        <f t="shared" si="3"/>
        <v>8185.4</v>
      </c>
      <c r="AS10" s="68"/>
      <c r="AT10" s="91"/>
      <c r="AU10" s="91"/>
      <c r="AV10" s="62">
        <f t="shared" si="4"/>
        <v>8185.4</v>
      </c>
      <c r="AW10" s="68"/>
      <c r="AX10" s="91"/>
      <c r="AY10" s="91"/>
      <c r="AZ10" s="62">
        <f t="shared" si="5"/>
        <v>8185.4</v>
      </c>
      <c r="BA10" s="68"/>
      <c r="BB10" s="91"/>
      <c r="BC10" s="91"/>
      <c r="BD10" s="62">
        <f t="shared" si="6"/>
        <v>8185.4</v>
      </c>
      <c r="BE10" s="68"/>
      <c r="BF10" s="91"/>
      <c r="BG10" s="91"/>
      <c r="BH10" s="62">
        <f t="shared" si="7"/>
        <v>8185.4</v>
      </c>
      <c r="BI10" s="68"/>
      <c r="BJ10" s="91"/>
      <c r="BK10" s="91">
        <v>33840</v>
      </c>
      <c r="BL10" s="62">
        <f t="shared" si="8"/>
        <v>-25654.6</v>
      </c>
      <c r="BM10" s="68"/>
      <c r="BN10" s="91"/>
      <c r="BO10" s="91">
        <v>11280</v>
      </c>
      <c r="BP10" s="62">
        <f t="shared" si="9"/>
        <v>-36934.6</v>
      </c>
      <c r="BQ10" s="68"/>
      <c r="BR10" s="68"/>
      <c r="BS10" s="68"/>
      <c r="BT10" s="68">
        <f>D10+BR10-BS10</f>
        <v>8185.4</v>
      </c>
      <c r="BU10" s="68"/>
      <c r="BV10" s="31">
        <v>1</v>
      </c>
      <c r="BW10" s="32">
        <v>20.36</v>
      </c>
      <c r="BX10" s="27"/>
      <c r="BY10" s="32"/>
      <c r="BZ10" s="32">
        <f>BT10+BW10-BY10</f>
        <v>8205.76</v>
      </c>
      <c r="CA10" s="32"/>
      <c r="CB10" s="32"/>
      <c r="CC10" s="32"/>
      <c r="CD10" s="32"/>
      <c r="CE10" s="32"/>
      <c r="CF10" s="32">
        <f>BZ10</f>
        <v>8205.76</v>
      </c>
      <c r="CG10" s="32"/>
    </row>
    <row r="11" spans="1:85" x14ac:dyDescent="0.5">
      <c r="A11" s="61">
        <v>5</v>
      </c>
      <c r="B11" s="81" t="s">
        <v>44</v>
      </c>
      <c r="C11" s="67">
        <v>41</v>
      </c>
      <c r="D11" s="68">
        <f>+'กระดาษทำการ 30 เม.ย.58'!BP15</f>
        <v>384907.3</v>
      </c>
      <c r="E11" s="68">
        <f>+'กระดาษทำการ 30 เม.ย.58'!BQ15</f>
        <v>0</v>
      </c>
      <c r="F11" s="91"/>
      <c r="G11" s="91"/>
      <c r="H11" s="62">
        <f t="shared" si="0"/>
        <v>384907.3</v>
      </c>
      <c r="I11" s="68"/>
      <c r="J11" s="91"/>
      <c r="K11" s="91"/>
      <c r="L11" s="62">
        <f t="shared" si="10"/>
        <v>384907.3</v>
      </c>
      <c r="M11" s="68"/>
      <c r="N11" s="91"/>
      <c r="O11" s="91"/>
      <c r="P11" s="62">
        <f t="shared" si="11"/>
        <v>384907.3</v>
      </c>
      <c r="Q11" s="68"/>
      <c r="R11" s="91"/>
      <c r="S11" s="91"/>
      <c r="T11" s="62">
        <f>+P11+R11-S11</f>
        <v>384907.3</v>
      </c>
      <c r="U11" s="68"/>
      <c r="V11" s="91"/>
      <c r="W11" s="91"/>
      <c r="X11" s="62">
        <f>+T11+V11-W11</f>
        <v>384907.3</v>
      </c>
      <c r="Y11" s="68"/>
      <c r="Z11" s="91"/>
      <c r="AA11" s="91"/>
      <c r="AB11" s="62">
        <f t="shared" si="1"/>
        <v>384907.3</v>
      </c>
      <c r="AC11" s="68"/>
      <c r="AD11" s="91"/>
      <c r="AE11" s="91">
        <v>2000</v>
      </c>
      <c r="AF11" s="62">
        <f t="shared" si="2"/>
        <v>382907.3</v>
      </c>
      <c r="AG11" s="68"/>
      <c r="AH11" s="91"/>
      <c r="AI11" s="91"/>
      <c r="AJ11" s="62">
        <f t="shared" si="12"/>
        <v>382907.3</v>
      </c>
      <c r="AK11" s="68"/>
      <c r="AL11" s="91"/>
      <c r="AM11" s="91">
        <v>2000</v>
      </c>
      <c r="AN11" s="68">
        <f t="shared" si="13"/>
        <v>380907.3</v>
      </c>
      <c r="AO11" s="68"/>
      <c r="AP11" s="91"/>
      <c r="AQ11" s="91">
        <v>2000</v>
      </c>
      <c r="AR11" s="62">
        <f t="shared" si="3"/>
        <v>378907.3</v>
      </c>
      <c r="AS11" s="68"/>
      <c r="AT11" s="91"/>
      <c r="AU11" s="91">
        <v>500</v>
      </c>
      <c r="AV11" s="62">
        <f t="shared" si="4"/>
        <v>378407.3</v>
      </c>
      <c r="AW11" s="68"/>
      <c r="AX11" s="91"/>
      <c r="AY11" s="91"/>
      <c r="AZ11" s="62">
        <f t="shared" si="5"/>
        <v>378407.3</v>
      </c>
      <c r="BA11" s="68"/>
      <c r="BB11" s="91"/>
      <c r="BC11" s="91"/>
      <c r="BD11" s="62">
        <f t="shared" si="6"/>
        <v>378407.3</v>
      </c>
      <c r="BE11" s="68"/>
      <c r="BF11" s="91"/>
      <c r="BG11" s="91"/>
      <c r="BH11" s="62">
        <f t="shared" si="7"/>
        <v>378407.3</v>
      </c>
      <c r="BI11" s="68"/>
      <c r="BJ11" s="91"/>
      <c r="BK11" s="91"/>
      <c r="BL11" s="62">
        <f t="shared" si="8"/>
        <v>378407.3</v>
      </c>
      <c r="BM11" s="68"/>
      <c r="BN11" s="91"/>
      <c r="BO11" s="91"/>
      <c r="BP11" s="62">
        <f t="shared" si="9"/>
        <v>378407.3</v>
      </c>
      <c r="BQ11" s="68"/>
      <c r="BR11" s="68"/>
      <c r="BS11" s="68"/>
      <c r="BT11" s="68">
        <f>D11+BR11-BS11</f>
        <v>384907.3</v>
      </c>
      <c r="BU11" s="68"/>
      <c r="BV11" s="31"/>
      <c r="BW11" s="32"/>
      <c r="BX11" s="27"/>
      <c r="BY11" s="32"/>
      <c r="BZ11" s="32">
        <f>BT11+BW11-BY11</f>
        <v>384907.3</v>
      </c>
      <c r="CA11" s="32"/>
      <c r="CB11" s="32"/>
      <c r="CC11" s="32"/>
      <c r="CD11" s="32"/>
      <c r="CE11" s="32"/>
      <c r="CF11" s="32">
        <f>BZ11</f>
        <v>384907.3</v>
      </c>
      <c r="CG11" s="32"/>
    </row>
    <row r="12" spans="1:85" x14ac:dyDescent="0.5">
      <c r="A12" s="61">
        <v>6</v>
      </c>
      <c r="B12" s="81" t="s">
        <v>45</v>
      </c>
      <c r="C12" s="67">
        <v>39</v>
      </c>
      <c r="D12" s="68">
        <f>+'กระดาษทำการ 30 เม.ย.58'!BP16</f>
        <v>0</v>
      </c>
      <c r="E12" s="68">
        <f>+'กระดาษทำการ 30 เม.ย.58'!BQ16</f>
        <v>384907.3</v>
      </c>
      <c r="F12" s="91"/>
      <c r="G12" s="91"/>
      <c r="H12" s="62">
        <f t="shared" si="0"/>
        <v>0</v>
      </c>
      <c r="I12" s="68">
        <f>+E12</f>
        <v>384907.3</v>
      </c>
      <c r="J12" s="91"/>
      <c r="K12" s="91"/>
      <c r="L12" s="62">
        <f t="shared" si="10"/>
        <v>0</v>
      </c>
      <c r="M12" s="68">
        <f>+I12</f>
        <v>384907.3</v>
      </c>
      <c r="N12" s="91"/>
      <c r="O12" s="91"/>
      <c r="P12" s="62">
        <f t="shared" si="11"/>
        <v>0</v>
      </c>
      <c r="Q12" s="68">
        <f>+M12</f>
        <v>384907.3</v>
      </c>
      <c r="R12" s="91"/>
      <c r="S12" s="91"/>
      <c r="T12" s="68"/>
      <c r="U12" s="68">
        <f>+Q12+S12-R12</f>
        <v>384907.3</v>
      </c>
      <c r="V12" s="91"/>
      <c r="W12" s="91"/>
      <c r="X12" s="68"/>
      <c r="Y12" s="68">
        <f>+U12</f>
        <v>384907.3</v>
      </c>
      <c r="Z12" s="91"/>
      <c r="AA12" s="91"/>
      <c r="AB12" s="62">
        <f t="shared" si="1"/>
        <v>0</v>
      </c>
      <c r="AC12" s="68">
        <f>+Y12</f>
        <v>384907.3</v>
      </c>
      <c r="AD12" s="91"/>
      <c r="AE12" s="91"/>
      <c r="AF12" s="62">
        <f t="shared" si="2"/>
        <v>0</v>
      </c>
      <c r="AG12" s="68">
        <f>+AC12</f>
        <v>384907.3</v>
      </c>
      <c r="AH12" s="91"/>
      <c r="AI12" s="91"/>
      <c r="AJ12" s="62">
        <f t="shared" si="12"/>
        <v>0</v>
      </c>
      <c r="AK12" s="68">
        <f>+AG12+AI12-AH12</f>
        <v>384907.3</v>
      </c>
      <c r="AL12" s="91"/>
      <c r="AM12" s="91"/>
      <c r="AN12" s="68"/>
      <c r="AO12" s="68">
        <f>+AK12</f>
        <v>384907.3</v>
      </c>
      <c r="AP12" s="91"/>
      <c r="AQ12" s="91"/>
      <c r="AR12" s="62">
        <f t="shared" si="3"/>
        <v>0</v>
      </c>
      <c r="AS12" s="68">
        <f>+AO12</f>
        <v>384907.3</v>
      </c>
      <c r="AT12" s="91"/>
      <c r="AU12" s="91"/>
      <c r="AV12" s="62">
        <f t="shared" si="4"/>
        <v>0</v>
      </c>
      <c r="AW12" s="68">
        <f>+AS12</f>
        <v>384907.3</v>
      </c>
      <c r="AX12" s="91"/>
      <c r="AY12" s="91"/>
      <c r="AZ12" s="62">
        <f t="shared" si="5"/>
        <v>0</v>
      </c>
      <c r="BA12" s="68">
        <f>+AW12</f>
        <v>384907.3</v>
      </c>
      <c r="BB12" s="91"/>
      <c r="BC12" s="91"/>
      <c r="BD12" s="62">
        <f t="shared" si="6"/>
        <v>0</v>
      </c>
      <c r="BE12" s="68">
        <f>+BA12</f>
        <v>384907.3</v>
      </c>
      <c r="BF12" s="91"/>
      <c r="BG12" s="91"/>
      <c r="BH12" s="62">
        <f t="shared" si="7"/>
        <v>0</v>
      </c>
      <c r="BI12" s="68">
        <f>+BE12</f>
        <v>384907.3</v>
      </c>
      <c r="BJ12" s="91"/>
      <c r="BK12" s="91"/>
      <c r="BL12" s="62">
        <f t="shared" si="8"/>
        <v>0</v>
      </c>
      <c r="BM12" s="68">
        <f>+BI12</f>
        <v>384907.3</v>
      </c>
      <c r="BN12" s="91"/>
      <c r="BO12" s="91"/>
      <c r="BP12" s="62">
        <f t="shared" si="9"/>
        <v>0</v>
      </c>
      <c r="BQ12" s="68">
        <f>+BM12</f>
        <v>384907.3</v>
      </c>
      <c r="BR12" s="68"/>
      <c r="BS12" s="68"/>
      <c r="BT12" s="68"/>
      <c r="BU12" s="68">
        <f>E12+BS12-BR12</f>
        <v>384907.3</v>
      </c>
      <c r="BV12" s="31"/>
      <c r="BW12" s="32"/>
      <c r="BX12" s="27"/>
      <c r="BY12" s="32"/>
      <c r="BZ12" s="32"/>
      <c r="CA12" s="32">
        <f>BU12+BY12-BW12</f>
        <v>384907.3</v>
      </c>
      <c r="CB12" s="32"/>
      <c r="CC12" s="32"/>
      <c r="CD12" s="32"/>
      <c r="CE12" s="32"/>
      <c r="CF12" s="32"/>
      <c r="CG12" s="32">
        <f>CA12</f>
        <v>384907.3</v>
      </c>
    </row>
    <row r="13" spans="1:85" x14ac:dyDescent="0.5">
      <c r="A13" s="61">
        <v>7</v>
      </c>
      <c r="B13" s="81" t="s">
        <v>82</v>
      </c>
      <c r="C13" s="67">
        <v>57</v>
      </c>
      <c r="D13" s="68">
        <f>+'กระดาษทำการ 30 เม.ย.58'!BP17</f>
        <v>0</v>
      </c>
      <c r="E13" s="68">
        <f>+'กระดาษทำการ 30 เม.ย.58'!BQ17</f>
        <v>0</v>
      </c>
      <c r="F13" s="91"/>
      <c r="G13" s="91"/>
      <c r="H13" s="62">
        <f t="shared" si="0"/>
        <v>0</v>
      </c>
      <c r="I13" s="68"/>
      <c r="J13" s="91"/>
      <c r="K13" s="91"/>
      <c r="L13" s="62">
        <f t="shared" si="10"/>
        <v>0</v>
      </c>
      <c r="M13" s="68"/>
      <c r="N13" s="91"/>
      <c r="O13" s="91"/>
      <c r="P13" s="62">
        <f t="shared" si="11"/>
        <v>0</v>
      </c>
      <c r="Q13" s="68"/>
      <c r="R13" s="91"/>
      <c r="S13" s="91"/>
      <c r="T13" s="68"/>
      <c r="U13" s="68"/>
      <c r="V13" s="91"/>
      <c r="W13" s="91"/>
      <c r="X13" s="68"/>
      <c r="Y13" s="68"/>
      <c r="Z13" s="91"/>
      <c r="AA13" s="91"/>
      <c r="AB13" s="62">
        <f t="shared" si="1"/>
        <v>0</v>
      </c>
      <c r="AC13" s="68"/>
      <c r="AD13" s="91"/>
      <c r="AE13" s="91"/>
      <c r="AF13" s="62">
        <f t="shared" si="2"/>
        <v>0</v>
      </c>
      <c r="AG13" s="68"/>
      <c r="AH13" s="91"/>
      <c r="AI13" s="91"/>
      <c r="AJ13" s="62">
        <f t="shared" si="12"/>
        <v>0</v>
      </c>
      <c r="AK13" s="68">
        <f t="shared" ref="AK13:AK64" si="14">+AG13+AI13-AH13</f>
        <v>0</v>
      </c>
      <c r="AL13" s="91"/>
      <c r="AM13" s="91"/>
      <c r="AN13" s="68"/>
      <c r="AO13" s="68"/>
      <c r="AP13" s="91">
        <f>8200+11280+11280+11280</f>
        <v>42040</v>
      </c>
      <c r="AQ13" s="91"/>
      <c r="AR13" s="62">
        <f t="shared" si="3"/>
        <v>42040</v>
      </c>
      <c r="AS13" s="68"/>
      <c r="AT13" s="91"/>
      <c r="AU13" s="91">
        <f>11280+22560+8200</f>
        <v>42040</v>
      </c>
      <c r="AV13" s="62">
        <f t="shared" si="4"/>
        <v>0</v>
      </c>
      <c r="AW13" s="68"/>
      <c r="AX13" s="91">
        <v>11280</v>
      </c>
      <c r="AY13" s="91">
        <v>11280</v>
      </c>
      <c r="AZ13" s="62">
        <f t="shared" si="5"/>
        <v>0</v>
      </c>
      <c r="BA13" s="68"/>
      <c r="BB13" s="91">
        <v>11280</v>
      </c>
      <c r="BC13" s="91">
        <v>11280</v>
      </c>
      <c r="BD13" s="62">
        <f t="shared" si="6"/>
        <v>0</v>
      </c>
      <c r="BE13" s="68"/>
      <c r="BF13" s="91">
        <v>11280</v>
      </c>
      <c r="BG13" s="91">
        <v>11280</v>
      </c>
      <c r="BH13" s="62">
        <f t="shared" si="7"/>
        <v>0</v>
      </c>
      <c r="BI13" s="68"/>
      <c r="BJ13" s="91"/>
      <c r="BK13" s="91"/>
      <c r="BL13" s="62">
        <f t="shared" si="8"/>
        <v>0</v>
      </c>
      <c r="BM13" s="68"/>
      <c r="BN13" s="91"/>
      <c r="BO13" s="91"/>
      <c r="BP13" s="62">
        <f t="shared" si="9"/>
        <v>0</v>
      </c>
      <c r="BQ13" s="68"/>
      <c r="BR13" s="68"/>
      <c r="BS13" s="68"/>
      <c r="BT13" s="68"/>
      <c r="BU13" s="68"/>
      <c r="BV13" s="31"/>
      <c r="BW13" s="32"/>
      <c r="BX13" s="27"/>
      <c r="BY13" s="32"/>
      <c r="BZ13" s="32"/>
      <c r="CA13" s="32"/>
      <c r="CB13" s="32"/>
      <c r="CC13" s="32"/>
      <c r="CD13" s="32"/>
      <c r="CE13" s="32"/>
      <c r="CF13" s="32"/>
      <c r="CG13" s="32"/>
    </row>
    <row r="14" spans="1:85" x14ac:dyDescent="0.5">
      <c r="A14" s="61">
        <v>8</v>
      </c>
      <c r="B14" s="81" t="s">
        <v>46</v>
      </c>
      <c r="C14" s="67">
        <v>43</v>
      </c>
      <c r="D14" s="68">
        <f>+'กระดาษทำการ 30 เม.ย.58'!BP18</f>
        <v>343820.06999999995</v>
      </c>
      <c r="E14" s="68">
        <f>+'กระดาษทำการ 30 เม.ย.58'!BQ18</f>
        <v>0</v>
      </c>
      <c r="F14" s="91"/>
      <c r="G14" s="91"/>
      <c r="H14" s="62">
        <f t="shared" si="0"/>
        <v>343820.06999999995</v>
      </c>
      <c r="I14" s="68"/>
      <c r="J14" s="91"/>
      <c r="K14" s="91"/>
      <c r="L14" s="62">
        <f t="shared" si="10"/>
        <v>343820.06999999995</v>
      </c>
      <c r="M14" s="68"/>
      <c r="N14" s="91"/>
      <c r="O14" s="91"/>
      <c r="P14" s="62">
        <f t="shared" si="11"/>
        <v>343820.06999999995</v>
      </c>
      <c r="Q14" s="68"/>
      <c r="R14" s="91"/>
      <c r="S14" s="91"/>
      <c r="T14" s="68">
        <f>+P14+R14-S14</f>
        <v>343820.06999999995</v>
      </c>
      <c r="U14" s="68"/>
      <c r="V14" s="91"/>
      <c r="W14" s="91"/>
      <c r="X14" s="68">
        <f>+T14+V14-W14</f>
        <v>343820.06999999995</v>
      </c>
      <c r="Y14" s="68"/>
      <c r="Z14" s="91"/>
      <c r="AA14" s="91"/>
      <c r="AB14" s="62">
        <f t="shared" si="1"/>
        <v>343820.06999999995</v>
      </c>
      <c r="AC14" s="68"/>
      <c r="AD14" s="91"/>
      <c r="AE14" s="91"/>
      <c r="AF14" s="62">
        <f t="shared" si="2"/>
        <v>343820.06999999995</v>
      </c>
      <c r="AG14" s="68"/>
      <c r="AH14" s="91"/>
      <c r="AI14" s="91"/>
      <c r="AJ14" s="62">
        <f t="shared" si="12"/>
        <v>343820.06999999995</v>
      </c>
      <c r="AK14" s="68">
        <f t="shared" si="14"/>
        <v>0</v>
      </c>
      <c r="AL14" s="91"/>
      <c r="AM14" s="91"/>
      <c r="AN14" s="68">
        <f>+AJ14</f>
        <v>343820.06999999995</v>
      </c>
      <c r="AO14" s="68"/>
      <c r="AP14" s="91"/>
      <c r="AQ14" s="91"/>
      <c r="AR14" s="62">
        <f t="shared" si="3"/>
        <v>343820.06999999995</v>
      </c>
      <c r="AS14" s="68"/>
      <c r="AT14" s="91"/>
      <c r="AU14" s="91"/>
      <c r="AV14" s="62">
        <f t="shared" si="4"/>
        <v>343820.06999999995</v>
      </c>
      <c r="AW14" s="68"/>
      <c r="AX14" s="91"/>
      <c r="AY14" s="91"/>
      <c r="AZ14" s="62">
        <f t="shared" si="5"/>
        <v>343820.06999999995</v>
      </c>
      <c r="BA14" s="68"/>
      <c r="BB14" s="91"/>
      <c r="BC14" s="91"/>
      <c r="BD14" s="62">
        <f t="shared" si="6"/>
        <v>343820.06999999995</v>
      </c>
      <c r="BE14" s="68"/>
      <c r="BF14" s="91"/>
      <c r="BG14" s="91"/>
      <c r="BH14" s="62">
        <f t="shared" si="7"/>
        <v>343820.06999999995</v>
      </c>
      <c r="BI14" s="68"/>
      <c r="BJ14" s="91"/>
      <c r="BK14" s="91"/>
      <c r="BL14" s="62">
        <f t="shared" si="8"/>
        <v>343820.06999999995</v>
      </c>
      <c r="BM14" s="68"/>
      <c r="BN14" s="91"/>
      <c r="BO14" s="91"/>
      <c r="BP14" s="62">
        <f t="shared" si="9"/>
        <v>343820.06999999995</v>
      </c>
      <c r="BQ14" s="68"/>
      <c r="BR14" s="68"/>
      <c r="BS14" s="68"/>
      <c r="BT14" s="68">
        <f>D14+BR14-BS14</f>
        <v>343820.06999999995</v>
      </c>
      <c r="BU14" s="68"/>
      <c r="BV14" s="31">
        <v>2</v>
      </c>
      <c r="BW14" s="32">
        <v>13223.85</v>
      </c>
      <c r="BX14" s="27"/>
      <c r="BY14" s="32"/>
      <c r="BZ14" s="32">
        <f>BT14+BW14-BY14</f>
        <v>357043.91999999993</v>
      </c>
      <c r="CA14" s="32"/>
      <c r="CB14" s="32"/>
      <c r="CC14" s="32"/>
      <c r="CD14" s="32"/>
      <c r="CE14" s="32"/>
      <c r="CF14" s="32">
        <f>BZ14</f>
        <v>357043.91999999993</v>
      </c>
      <c r="CG14" s="32"/>
    </row>
    <row r="15" spans="1:85" ht="24" x14ac:dyDescent="0.55000000000000004">
      <c r="A15" s="61">
        <v>9</v>
      </c>
      <c r="B15" s="81" t="s">
        <v>47</v>
      </c>
      <c r="C15" s="67">
        <v>47</v>
      </c>
      <c r="D15" s="68">
        <f>+'กระดาษทำการ 30 เม.ย.58'!BP19</f>
        <v>508157.69999999995</v>
      </c>
      <c r="E15" s="68">
        <f>+'กระดาษทำการ 30 เม.ย.58'!BQ19</f>
        <v>0</v>
      </c>
      <c r="F15" s="119">
        <f>3500+4415</f>
        <v>7915</v>
      </c>
      <c r="G15" s="119">
        <v>24830</v>
      </c>
      <c r="H15" s="62">
        <f t="shared" si="0"/>
        <v>491242.69999999995</v>
      </c>
      <c r="I15" s="68"/>
      <c r="J15" s="91">
        <v>32165</v>
      </c>
      <c r="K15" s="91"/>
      <c r="L15" s="62">
        <f t="shared" si="10"/>
        <v>523407.69999999995</v>
      </c>
      <c r="M15" s="68"/>
      <c r="N15" s="91">
        <f>8840</f>
        <v>8840</v>
      </c>
      <c r="O15" s="91"/>
      <c r="P15" s="62">
        <f t="shared" si="11"/>
        <v>532247.69999999995</v>
      </c>
      <c r="Q15" s="68"/>
      <c r="R15" s="92">
        <v>13955</v>
      </c>
      <c r="S15" s="92">
        <f>700+1500</f>
        <v>2200</v>
      </c>
      <c r="T15" s="68">
        <f>+P15+R15-S15</f>
        <v>544002.69999999995</v>
      </c>
      <c r="U15" s="68"/>
      <c r="V15" s="91"/>
      <c r="W15" s="91"/>
      <c r="X15" s="68">
        <f>+T15+V15-W15</f>
        <v>544002.69999999995</v>
      </c>
      <c r="Y15" s="68"/>
      <c r="Z15" s="92">
        <v>17205</v>
      </c>
      <c r="AA15" s="92">
        <v>81200</v>
      </c>
      <c r="AB15" s="62">
        <f t="shared" si="1"/>
        <v>480007.69999999995</v>
      </c>
      <c r="AC15" s="68"/>
      <c r="AD15" s="91">
        <f>26865+5200+15970</f>
        <v>48035</v>
      </c>
      <c r="AE15" s="91">
        <f>18625+15470+1500+1000</f>
        <v>36595</v>
      </c>
      <c r="AF15" s="62">
        <f t="shared" si="2"/>
        <v>491447.69999999995</v>
      </c>
      <c r="AG15" s="68"/>
      <c r="AH15" s="91">
        <v>30150</v>
      </c>
      <c r="AI15" s="91">
        <f>500+1000+1500</f>
        <v>3000</v>
      </c>
      <c r="AJ15" s="62">
        <f t="shared" si="12"/>
        <v>518597.69999999995</v>
      </c>
      <c r="AK15" s="68"/>
      <c r="AL15" s="91">
        <f>8250+10000</f>
        <v>18250</v>
      </c>
      <c r="AM15" s="91">
        <f>1000+2000+1000+21700</f>
        <v>25700</v>
      </c>
      <c r="AN15" s="68">
        <f>+AJ15+AL15-AM15</f>
        <v>511147.69999999995</v>
      </c>
      <c r="AO15" s="68"/>
      <c r="AP15" s="91">
        <v>13060</v>
      </c>
      <c r="AQ15" s="91">
        <v>2700</v>
      </c>
      <c r="AR15" s="62">
        <f t="shared" si="3"/>
        <v>521507.69999999995</v>
      </c>
      <c r="AS15" s="68"/>
      <c r="AT15" s="92"/>
      <c r="AU15" s="92">
        <f>3870+1650</f>
        <v>5520</v>
      </c>
      <c r="AV15" s="62">
        <f t="shared" si="4"/>
        <v>515987.69999999995</v>
      </c>
      <c r="AW15" s="68"/>
      <c r="AX15" s="91">
        <v>31900</v>
      </c>
      <c r="AY15" s="91">
        <v>97500</v>
      </c>
      <c r="AZ15" s="62">
        <f t="shared" si="5"/>
        <v>450387.69999999995</v>
      </c>
      <c r="BA15" s="68"/>
      <c r="BB15" s="91">
        <v>29305</v>
      </c>
      <c r="BC15" s="91">
        <v>29305</v>
      </c>
      <c r="BD15" s="62">
        <f t="shared" si="6"/>
        <v>450387.69999999995</v>
      </c>
      <c r="BE15" s="68"/>
      <c r="BF15" s="91"/>
      <c r="BG15" s="91">
        <v>1000</v>
      </c>
      <c r="BH15" s="62">
        <f t="shared" si="7"/>
        <v>449387.69999999995</v>
      </c>
      <c r="BI15" s="68"/>
      <c r="BJ15" s="91"/>
      <c r="BK15" s="91"/>
      <c r="BL15" s="62">
        <f t="shared" si="8"/>
        <v>449387.69999999995</v>
      </c>
      <c r="BM15" s="68"/>
      <c r="BN15" s="91"/>
      <c r="BO15" s="91">
        <v>3700</v>
      </c>
      <c r="BP15" s="62">
        <f t="shared" si="9"/>
        <v>445687.69999999995</v>
      </c>
      <c r="BQ15" s="68"/>
      <c r="BR15" s="68"/>
      <c r="BS15" s="68"/>
      <c r="BT15" s="68">
        <f>D15+BR15-BS15</f>
        <v>508157.69999999995</v>
      </c>
      <c r="BU15" s="68"/>
      <c r="BV15" s="31"/>
      <c r="BW15" s="32"/>
      <c r="BX15" s="27"/>
      <c r="BY15" s="32"/>
      <c r="BZ15" s="32">
        <f>BT15+BW15-BY15</f>
        <v>508157.69999999995</v>
      </c>
      <c r="CA15" s="32"/>
      <c r="CB15" s="32"/>
      <c r="CC15" s="32"/>
      <c r="CD15" s="32"/>
      <c r="CE15" s="32"/>
      <c r="CF15" s="32">
        <f>BZ15</f>
        <v>508157.69999999995</v>
      </c>
      <c r="CG15" s="32"/>
    </row>
    <row r="16" spans="1:85" x14ac:dyDescent="0.5">
      <c r="A16" s="61">
        <v>10</v>
      </c>
      <c r="B16" s="81" t="s">
        <v>48</v>
      </c>
      <c r="C16" s="67">
        <v>45</v>
      </c>
      <c r="D16" s="68">
        <f>+'กระดาษทำการ 30 เม.ย.58'!BP20</f>
        <v>0</v>
      </c>
      <c r="E16" s="68">
        <f>+'กระดาษทำการ 30 เม.ย.58'!BQ20</f>
        <v>437849.2</v>
      </c>
      <c r="F16" s="91"/>
      <c r="G16" s="91"/>
      <c r="H16" s="62">
        <f t="shared" si="0"/>
        <v>0</v>
      </c>
      <c r="I16" s="68">
        <f>+E16</f>
        <v>437849.2</v>
      </c>
      <c r="J16" s="91"/>
      <c r="K16" s="91"/>
      <c r="L16" s="62">
        <f t="shared" si="10"/>
        <v>0</v>
      </c>
      <c r="M16" s="68">
        <f>+I16</f>
        <v>437849.2</v>
      </c>
      <c r="N16" s="91"/>
      <c r="O16" s="91"/>
      <c r="P16" s="62">
        <f t="shared" si="11"/>
        <v>0</v>
      </c>
      <c r="Q16" s="68">
        <f>+M16</f>
        <v>437849.2</v>
      </c>
      <c r="R16" s="91"/>
      <c r="S16" s="91"/>
      <c r="T16" s="68">
        <f t="shared" ref="T16:T17" si="15">+P16+R16-S16</f>
        <v>0</v>
      </c>
      <c r="U16" s="68">
        <f>+Q16</f>
        <v>437849.2</v>
      </c>
      <c r="V16" s="91"/>
      <c r="W16" s="91"/>
      <c r="X16" s="68">
        <f t="shared" ref="X16:X17" si="16">+T16+V16-W16</f>
        <v>0</v>
      </c>
      <c r="Y16" s="68">
        <f>+U16</f>
        <v>437849.2</v>
      </c>
      <c r="Z16" s="91"/>
      <c r="AA16" s="91"/>
      <c r="AB16" s="62">
        <f t="shared" si="1"/>
        <v>0</v>
      </c>
      <c r="AC16" s="68">
        <f>+Y16</f>
        <v>437849.2</v>
      </c>
      <c r="AD16" s="91"/>
      <c r="AE16" s="91"/>
      <c r="AF16" s="62">
        <f t="shared" si="2"/>
        <v>0</v>
      </c>
      <c r="AG16" s="68">
        <f>+AC16</f>
        <v>437849.2</v>
      </c>
      <c r="AH16" s="91"/>
      <c r="AI16" s="91"/>
      <c r="AJ16" s="62">
        <f t="shared" si="12"/>
        <v>0</v>
      </c>
      <c r="AK16" s="68">
        <f t="shared" si="14"/>
        <v>437849.2</v>
      </c>
      <c r="AL16" s="91"/>
      <c r="AM16" s="91"/>
      <c r="AN16" s="68">
        <f t="shared" ref="AN16:AN17" si="17">+AJ16+AL16-AM16</f>
        <v>0</v>
      </c>
      <c r="AO16" s="68">
        <f>+AK16</f>
        <v>437849.2</v>
      </c>
      <c r="AP16" s="91"/>
      <c r="AQ16" s="91"/>
      <c r="AR16" s="62">
        <f t="shared" si="3"/>
        <v>0</v>
      </c>
      <c r="AS16" s="68">
        <f>+AO16+AQ16-AP16</f>
        <v>437849.2</v>
      </c>
      <c r="AT16" s="91"/>
      <c r="AU16" s="91"/>
      <c r="AV16" s="62">
        <f t="shared" si="4"/>
        <v>0</v>
      </c>
      <c r="AW16" s="68">
        <f>+AS16</f>
        <v>437849.2</v>
      </c>
      <c r="AX16" s="91"/>
      <c r="AY16" s="91"/>
      <c r="AZ16" s="62">
        <f t="shared" si="5"/>
        <v>0</v>
      </c>
      <c r="BA16" s="68">
        <f>+AW16</f>
        <v>437849.2</v>
      </c>
      <c r="BB16" s="91"/>
      <c r="BC16" s="91"/>
      <c r="BD16" s="62">
        <f t="shared" si="6"/>
        <v>0</v>
      </c>
      <c r="BE16" s="68">
        <f>+BA16</f>
        <v>437849.2</v>
      </c>
      <c r="BF16" s="91"/>
      <c r="BG16" s="91"/>
      <c r="BH16" s="62">
        <f t="shared" si="7"/>
        <v>0</v>
      </c>
      <c r="BI16" s="68">
        <f>+BE16</f>
        <v>437849.2</v>
      </c>
      <c r="BJ16" s="91"/>
      <c r="BK16" s="91"/>
      <c r="BL16" s="62">
        <f t="shared" si="8"/>
        <v>0</v>
      </c>
      <c r="BM16" s="68">
        <f>+BI16</f>
        <v>437849.2</v>
      </c>
      <c r="BN16" s="91"/>
      <c r="BO16" s="91"/>
      <c r="BP16" s="62">
        <f t="shared" si="9"/>
        <v>0</v>
      </c>
      <c r="BQ16" s="68">
        <f>+BM16</f>
        <v>437849.2</v>
      </c>
      <c r="BR16" s="68"/>
      <c r="BS16" s="68"/>
      <c r="BT16" s="68"/>
      <c r="BU16" s="68">
        <f>E16+BS16-BR16</f>
        <v>437849.2</v>
      </c>
      <c r="BV16" s="31">
        <v>3</v>
      </c>
      <c r="BW16" s="32">
        <v>36171.5</v>
      </c>
      <c r="BX16" s="27"/>
      <c r="BY16" s="32"/>
      <c r="BZ16" s="32"/>
      <c r="CA16" s="32">
        <f>BU16+BY16-BW16</f>
        <v>401677.7</v>
      </c>
      <c r="CB16" s="32"/>
      <c r="CC16" s="32"/>
      <c r="CD16" s="32"/>
      <c r="CE16" s="32"/>
      <c r="CF16" s="32"/>
      <c r="CG16" s="32">
        <f>CA16</f>
        <v>401677.7</v>
      </c>
    </row>
    <row r="17" spans="1:85" x14ac:dyDescent="0.5">
      <c r="A17" s="61">
        <v>11</v>
      </c>
      <c r="B17" s="81" t="s">
        <v>163</v>
      </c>
      <c r="C17" s="67"/>
      <c r="D17" s="68"/>
      <c r="E17" s="68"/>
      <c r="F17" s="91">
        <v>580</v>
      </c>
      <c r="G17" s="91"/>
      <c r="H17" s="62">
        <f t="shared" si="0"/>
        <v>580</v>
      </c>
      <c r="I17" s="68"/>
      <c r="J17" s="91">
        <f>21700+2030</f>
        <v>23730</v>
      </c>
      <c r="K17" s="91"/>
      <c r="L17" s="62">
        <f t="shared" si="10"/>
        <v>24310</v>
      </c>
      <c r="M17" s="68"/>
      <c r="N17" s="91">
        <f>8670+2700</f>
        <v>11370</v>
      </c>
      <c r="O17" s="91"/>
      <c r="P17" s="62">
        <f t="shared" si="11"/>
        <v>35680</v>
      </c>
      <c r="Q17" s="68"/>
      <c r="R17" s="91">
        <v>290</v>
      </c>
      <c r="S17" s="91"/>
      <c r="T17" s="68">
        <f t="shared" si="15"/>
        <v>35970</v>
      </c>
      <c r="U17" s="68"/>
      <c r="V17" s="91"/>
      <c r="W17" s="91"/>
      <c r="X17" s="68">
        <f t="shared" si="16"/>
        <v>35970</v>
      </c>
      <c r="Y17" s="68"/>
      <c r="Z17" s="91">
        <v>3130</v>
      </c>
      <c r="AA17" s="91"/>
      <c r="AB17" s="62">
        <f t="shared" si="1"/>
        <v>39100</v>
      </c>
      <c r="AC17" s="68"/>
      <c r="AD17" s="91"/>
      <c r="AE17" s="91"/>
      <c r="AF17" s="62">
        <f t="shared" si="2"/>
        <v>39100</v>
      </c>
      <c r="AG17" s="68"/>
      <c r="AH17" s="91"/>
      <c r="AI17" s="91"/>
      <c r="AJ17" s="62">
        <f t="shared" si="12"/>
        <v>39100</v>
      </c>
      <c r="AK17" s="68"/>
      <c r="AL17" s="91"/>
      <c r="AM17" s="91"/>
      <c r="AN17" s="68">
        <f t="shared" si="17"/>
        <v>39100</v>
      </c>
      <c r="AO17" s="68"/>
      <c r="AP17" s="91">
        <v>1270</v>
      </c>
      <c r="AQ17" s="91"/>
      <c r="AR17" s="62">
        <f t="shared" si="3"/>
        <v>40370</v>
      </c>
      <c r="AS17" s="68"/>
      <c r="AT17" s="91">
        <v>1230</v>
      </c>
      <c r="AU17" s="91"/>
      <c r="AV17" s="62">
        <f t="shared" si="4"/>
        <v>41600</v>
      </c>
      <c r="AW17" s="68"/>
      <c r="AX17" s="91"/>
      <c r="AY17" s="91"/>
      <c r="AZ17" s="62">
        <f t="shared" si="5"/>
        <v>41600</v>
      </c>
      <c r="BA17" s="68"/>
      <c r="BB17" s="91"/>
      <c r="BC17" s="91"/>
      <c r="BD17" s="62">
        <f t="shared" si="6"/>
        <v>41600</v>
      </c>
      <c r="BE17" s="68"/>
      <c r="BF17" s="91">
        <v>430</v>
      </c>
      <c r="BG17" s="91">
        <v>430</v>
      </c>
      <c r="BH17" s="62">
        <f t="shared" si="7"/>
        <v>41600</v>
      </c>
      <c r="BI17" s="68"/>
      <c r="BJ17" s="91"/>
      <c r="BK17" s="91"/>
      <c r="BL17" s="62">
        <f t="shared" si="8"/>
        <v>41600</v>
      </c>
      <c r="BM17" s="68"/>
      <c r="BN17" s="91">
        <v>8930</v>
      </c>
      <c r="BO17" s="91">
        <v>8930</v>
      </c>
      <c r="BP17" s="62">
        <f t="shared" si="9"/>
        <v>41600</v>
      </c>
      <c r="BQ17" s="68"/>
      <c r="BR17" s="68"/>
      <c r="BS17" s="68"/>
      <c r="BT17" s="68"/>
      <c r="BU17" s="68"/>
      <c r="BV17" s="31"/>
      <c r="BW17" s="32"/>
      <c r="BX17" s="27"/>
      <c r="BY17" s="32"/>
      <c r="BZ17" s="32"/>
      <c r="CA17" s="32"/>
      <c r="CB17" s="32"/>
      <c r="CC17" s="32"/>
      <c r="CD17" s="32"/>
      <c r="CE17" s="32"/>
      <c r="CF17" s="32"/>
      <c r="CG17" s="32"/>
    </row>
    <row r="18" spans="1:85" x14ac:dyDescent="0.5">
      <c r="A18" s="61">
        <v>12</v>
      </c>
      <c r="B18" s="81" t="s">
        <v>135</v>
      </c>
      <c r="C18" s="67">
        <v>147</v>
      </c>
      <c r="D18" s="68">
        <f>+'กระดาษทำการ 30 เม.ย.58'!BP21</f>
        <v>0</v>
      </c>
      <c r="E18" s="68">
        <f>+'กระดาษทำการ 30 เม.ย.58'!BQ21</f>
        <v>0</v>
      </c>
      <c r="F18" s="91"/>
      <c r="G18" s="91"/>
      <c r="H18" s="62">
        <f t="shared" si="0"/>
        <v>0</v>
      </c>
      <c r="I18" s="68"/>
      <c r="J18" s="91"/>
      <c r="K18" s="91"/>
      <c r="L18" s="68"/>
      <c r="M18" s="68"/>
      <c r="N18" s="91"/>
      <c r="O18" s="91"/>
      <c r="P18" s="62">
        <f t="shared" si="11"/>
        <v>0</v>
      </c>
      <c r="Q18" s="68"/>
      <c r="R18" s="91"/>
      <c r="S18" s="91"/>
      <c r="T18" s="68">
        <f>+P18+R18-S18</f>
        <v>0</v>
      </c>
      <c r="U18" s="68"/>
      <c r="V18" s="91"/>
      <c r="W18" s="91"/>
      <c r="X18" s="68">
        <f>+T18+V18-W18</f>
        <v>0</v>
      </c>
      <c r="Y18" s="68"/>
      <c r="Z18" s="91"/>
      <c r="AA18" s="91"/>
      <c r="AB18" s="62">
        <f t="shared" si="1"/>
        <v>0</v>
      </c>
      <c r="AC18" s="68"/>
      <c r="AD18" s="91"/>
      <c r="AE18" s="91"/>
      <c r="AF18" s="62">
        <f t="shared" si="2"/>
        <v>0</v>
      </c>
      <c r="AG18" s="68"/>
      <c r="AH18" s="91"/>
      <c r="AI18" s="91"/>
      <c r="AJ18" s="62">
        <f t="shared" si="12"/>
        <v>0</v>
      </c>
      <c r="AK18" s="68">
        <f t="shared" si="14"/>
        <v>0</v>
      </c>
      <c r="AL18" s="91"/>
      <c r="AM18" s="91"/>
      <c r="AN18" s="68"/>
      <c r="AO18" s="68"/>
      <c r="AP18" s="91"/>
      <c r="AQ18" s="91"/>
      <c r="AR18" s="62">
        <f t="shared" si="3"/>
        <v>0</v>
      </c>
      <c r="AS18" s="68">
        <f t="shared" ref="AS18:AS32" si="18">+AO18+AQ18-AP18</f>
        <v>0</v>
      </c>
      <c r="AT18" s="91"/>
      <c r="AU18" s="91"/>
      <c r="AV18" s="62">
        <f t="shared" si="4"/>
        <v>0</v>
      </c>
      <c r="AW18" s="68">
        <f t="shared" ref="AW18" si="19">+AR18+AT18-AU18</f>
        <v>0</v>
      </c>
      <c r="AX18" s="91"/>
      <c r="AY18" s="91"/>
      <c r="AZ18" s="62">
        <f t="shared" si="5"/>
        <v>0</v>
      </c>
      <c r="BA18" s="68"/>
      <c r="BB18" s="91"/>
      <c r="BC18" s="91"/>
      <c r="BD18" s="62">
        <f t="shared" si="6"/>
        <v>0</v>
      </c>
      <c r="BE18" s="68"/>
      <c r="BF18" s="91"/>
      <c r="BG18" s="91"/>
      <c r="BH18" s="62">
        <f t="shared" si="7"/>
        <v>0</v>
      </c>
      <c r="BI18" s="68"/>
      <c r="BJ18" s="91"/>
      <c r="BK18" s="91"/>
      <c r="BL18" s="62">
        <f t="shared" si="8"/>
        <v>0</v>
      </c>
      <c r="BM18" s="68"/>
      <c r="BN18" s="91"/>
      <c r="BO18" s="91"/>
      <c r="BP18" s="62">
        <f t="shared" si="9"/>
        <v>0</v>
      </c>
      <c r="BQ18" s="68"/>
      <c r="BR18" s="68"/>
      <c r="BS18" s="68"/>
      <c r="BT18" s="68">
        <f>D18+BR18-BS18</f>
        <v>0</v>
      </c>
      <c r="BU18" s="68"/>
      <c r="BV18" s="31"/>
      <c r="BW18" s="32"/>
      <c r="BX18" s="27"/>
      <c r="BY18" s="32"/>
      <c r="BZ18" s="32">
        <f>BT18+BW18-BY18</f>
        <v>0</v>
      </c>
      <c r="CA18" s="32"/>
      <c r="CB18" s="32">
        <f>BZ18</f>
        <v>0</v>
      </c>
      <c r="CC18" s="32"/>
      <c r="CD18" s="32"/>
      <c r="CE18" s="32"/>
      <c r="CF18" s="32"/>
      <c r="CG18" s="32"/>
    </row>
    <row r="19" spans="1:85" x14ac:dyDescent="0.5">
      <c r="A19" s="61">
        <v>13</v>
      </c>
      <c r="B19" s="81" t="s">
        <v>7</v>
      </c>
      <c r="C19" s="67">
        <v>53</v>
      </c>
      <c r="D19" s="68">
        <f>+'กระดาษทำการ 30 เม.ย.58'!BP22</f>
        <v>45031</v>
      </c>
      <c r="E19" s="68">
        <f>+'กระดาษทำการ 30 เม.ย.58'!BQ22</f>
        <v>0</v>
      </c>
      <c r="F19" s="91"/>
      <c r="G19" s="91"/>
      <c r="H19" s="62">
        <f t="shared" si="0"/>
        <v>45031</v>
      </c>
      <c r="I19" s="68"/>
      <c r="J19" s="91"/>
      <c r="K19" s="91"/>
      <c r="L19" s="68">
        <f>+H19+J19-K19</f>
        <v>45031</v>
      </c>
      <c r="M19" s="68"/>
      <c r="N19" s="91"/>
      <c r="O19" s="91"/>
      <c r="P19" s="62">
        <f t="shared" si="11"/>
        <v>45031</v>
      </c>
      <c r="Q19" s="68"/>
      <c r="R19" s="91"/>
      <c r="S19" s="91"/>
      <c r="T19" s="68">
        <f>+P19+R19-S19</f>
        <v>45031</v>
      </c>
      <c r="U19" s="68"/>
      <c r="V19" s="91"/>
      <c r="W19" s="91"/>
      <c r="X19" s="68">
        <f>+T19+V19-W19</f>
        <v>45031</v>
      </c>
      <c r="Y19" s="68"/>
      <c r="Z19" s="91"/>
      <c r="AA19" s="91"/>
      <c r="AB19" s="62">
        <f t="shared" si="1"/>
        <v>45031</v>
      </c>
      <c r="AC19" s="68"/>
      <c r="AD19" s="91"/>
      <c r="AE19" s="91"/>
      <c r="AF19" s="62">
        <f t="shared" si="2"/>
        <v>45031</v>
      </c>
      <c r="AG19" s="68"/>
      <c r="AH19" s="91"/>
      <c r="AI19" s="91"/>
      <c r="AJ19" s="62">
        <f t="shared" si="12"/>
        <v>45031</v>
      </c>
      <c r="AK19" s="68">
        <f t="shared" si="14"/>
        <v>0</v>
      </c>
      <c r="AL19" s="91"/>
      <c r="AM19" s="91"/>
      <c r="AN19" s="68">
        <f>+AJ19</f>
        <v>45031</v>
      </c>
      <c r="AO19" s="68"/>
      <c r="AP19" s="91"/>
      <c r="AQ19" s="91"/>
      <c r="AR19" s="62">
        <f t="shared" si="3"/>
        <v>45031</v>
      </c>
      <c r="AS19" s="68">
        <f t="shared" si="18"/>
        <v>0</v>
      </c>
      <c r="AT19" s="91"/>
      <c r="AU19" s="91"/>
      <c r="AV19" s="62">
        <f t="shared" si="4"/>
        <v>45031</v>
      </c>
      <c r="AW19" s="68"/>
      <c r="AX19" s="91"/>
      <c r="AY19" s="91"/>
      <c r="AZ19" s="62">
        <f t="shared" si="5"/>
        <v>45031</v>
      </c>
      <c r="BA19" s="68"/>
      <c r="BB19" s="91"/>
      <c r="BC19" s="91"/>
      <c r="BD19" s="62">
        <f t="shared" si="6"/>
        <v>45031</v>
      </c>
      <c r="BE19" s="68"/>
      <c r="BF19" s="91"/>
      <c r="BG19" s="91"/>
      <c r="BH19" s="62">
        <f t="shared" si="7"/>
        <v>45031</v>
      </c>
      <c r="BI19" s="68"/>
      <c r="BJ19" s="91"/>
      <c r="BK19" s="91"/>
      <c r="BL19" s="62">
        <f t="shared" si="8"/>
        <v>45031</v>
      </c>
      <c r="BM19" s="68"/>
      <c r="BN19" s="91"/>
      <c r="BO19" s="91"/>
      <c r="BP19" s="62">
        <f t="shared" si="9"/>
        <v>45031</v>
      </c>
      <c r="BQ19" s="68"/>
      <c r="BR19" s="68"/>
      <c r="BS19" s="68"/>
      <c r="BT19" s="68">
        <f>D19+BR19-BS19</f>
        <v>45031</v>
      </c>
      <c r="BU19" s="68"/>
      <c r="BV19" s="31"/>
      <c r="BW19" s="32"/>
      <c r="BX19" s="27"/>
      <c r="BY19" s="32"/>
      <c r="BZ19" s="32">
        <f>BT19+BW19-BY19</f>
        <v>45031</v>
      </c>
      <c r="CA19" s="32"/>
      <c r="CB19" s="32"/>
      <c r="CC19" s="32"/>
      <c r="CD19" s="32"/>
      <c r="CE19" s="32"/>
      <c r="CF19" s="32">
        <f>BZ19</f>
        <v>45031</v>
      </c>
      <c r="CG19" s="32"/>
    </row>
    <row r="20" spans="1:85" x14ac:dyDescent="0.5">
      <c r="A20" s="61">
        <v>14</v>
      </c>
      <c r="B20" s="81" t="s">
        <v>49</v>
      </c>
      <c r="C20" s="67">
        <v>55</v>
      </c>
      <c r="D20" s="68">
        <f>+'กระดาษทำการ 30 เม.ย.58'!BP23</f>
        <v>0</v>
      </c>
      <c r="E20" s="68">
        <f>+'กระดาษทำการ 30 เม.ย.58'!BQ23</f>
        <v>45031</v>
      </c>
      <c r="F20" s="91"/>
      <c r="G20" s="91"/>
      <c r="H20" s="62">
        <f t="shared" si="0"/>
        <v>0</v>
      </c>
      <c r="I20" s="68">
        <f>+E20</f>
        <v>45031</v>
      </c>
      <c r="J20" s="91"/>
      <c r="K20" s="91"/>
      <c r="L20" s="68">
        <f t="shared" ref="L20:L28" si="20">+H20+J20-K20</f>
        <v>0</v>
      </c>
      <c r="M20" s="68">
        <f>+I20</f>
        <v>45031</v>
      </c>
      <c r="N20" s="91"/>
      <c r="O20" s="91"/>
      <c r="P20" s="62">
        <f t="shared" si="11"/>
        <v>0</v>
      </c>
      <c r="Q20" s="68">
        <f>+M20</f>
        <v>45031</v>
      </c>
      <c r="R20" s="91"/>
      <c r="S20" s="91"/>
      <c r="T20" s="68"/>
      <c r="U20" s="68">
        <f>+Q20</f>
        <v>45031</v>
      </c>
      <c r="V20" s="91"/>
      <c r="W20" s="91"/>
      <c r="X20" s="68"/>
      <c r="Y20" s="68">
        <f>+U20+W20-V20</f>
        <v>45031</v>
      </c>
      <c r="Z20" s="91"/>
      <c r="AA20" s="91"/>
      <c r="AB20" s="62">
        <f t="shared" si="1"/>
        <v>0</v>
      </c>
      <c r="AC20" s="68">
        <f>+Y20</f>
        <v>45031</v>
      </c>
      <c r="AD20" s="91"/>
      <c r="AE20" s="91"/>
      <c r="AF20" s="62">
        <f t="shared" si="2"/>
        <v>0</v>
      </c>
      <c r="AG20" s="68">
        <f>+AC20</f>
        <v>45031</v>
      </c>
      <c r="AH20" s="91"/>
      <c r="AI20" s="91"/>
      <c r="AJ20" s="62">
        <f t="shared" si="12"/>
        <v>0</v>
      </c>
      <c r="AK20" s="68">
        <f t="shared" si="14"/>
        <v>45031</v>
      </c>
      <c r="AL20" s="91"/>
      <c r="AM20" s="91"/>
      <c r="AN20" s="68">
        <f t="shared" ref="AN20:AN27" si="21">+AJ20</f>
        <v>0</v>
      </c>
      <c r="AO20" s="68">
        <f>+AK20</f>
        <v>45031</v>
      </c>
      <c r="AP20" s="91"/>
      <c r="AQ20" s="91"/>
      <c r="AR20" s="62">
        <f t="shared" si="3"/>
        <v>0</v>
      </c>
      <c r="AS20" s="68">
        <f t="shared" si="18"/>
        <v>45031</v>
      </c>
      <c r="AT20" s="91"/>
      <c r="AU20" s="91"/>
      <c r="AV20" s="62">
        <f t="shared" si="4"/>
        <v>0</v>
      </c>
      <c r="AW20" s="68">
        <f>+AS20</f>
        <v>45031</v>
      </c>
      <c r="AX20" s="91"/>
      <c r="AY20" s="91"/>
      <c r="AZ20" s="62">
        <f t="shared" si="5"/>
        <v>0</v>
      </c>
      <c r="BA20" s="68">
        <f>+AW20</f>
        <v>45031</v>
      </c>
      <c r="BB20" s="91"/>
      <c r="BC20" s="91"/>
      <c r="BD20" s="62">
        <f t="shared" si="6"/>
        <v>0</v>
      </c>
      <c r="BE20" s="68">
        <f>+BA20</f>
        <v>45031</v>
      </c>
      <c r="BF20" s="91"/>
      <c r="BG20" s="91"/>
      <c r="BH20" s="62">
        <f t="shared" si="7"/>
        <v>0</v>
      </c>
      <c r="BI20" s="68">
        <f>+BE20</f>
        <v>45031</v>
      </c>
      <c r="BJ20" s="91"/>
      <c r="BK20" s="91"/>
      <c r="BL20" s="62">
        <f t="shared" si="8"/>
        <v>0</v>
      </c>
      <c r="BM20" s="68">
        <f>+BI20</f>
        <v>45031</v>
      </c>
      <c r="BN20" s="91"/>
      <c r="BO20" s="91"/>
      <c r="BP20" s="62">
        <f t="shared" si="9"/>
        <v>0</v>
      </c>
      <c r="BQ20" s="68">
        <f>+BM20</f>
        <v>45031</v>
      </c>
      <c r="BR20" s="68"/>
      <c r="BS20" s="68"/>
      <c r="BT20" s="68"/>
      <c r="BU20" s="68">
        <f>E20+BS20-BR20</f>
        <v>45031</v>
      </c>
      <c r="BV20" s="31"/>
      <c r="BW20" s="32"/>
      <c r="BX20" s="27"/>
      <c r="BY20" s="32"/>
      <c r="BZ20" s="32"/>
      <c r="CA20" s="32">
        <f>BU20+BY20-BW20</f>
        <v>45031</v>
      </c>
      <c r="CB20" s="32"/>
      <c r="CC20" s="32"/>
      <c r="CD20" s="32"/>
      <c r="CE20" s="32"/>
      <c r="CF20" s="32"/>
      <c r="CG20" s="32">
        <f>CA20</f>
        <v>45031</v>
      </c>
    </row>
    <row r="21" spans="1:85" x14ac:dyDescent="0.5">
      <c r="A21" s="61">
        <v>15</v>
      </c>
      <c r="B21" s="81" t="s">
        <v>77</v>
      </c>
      <c r="C21" s="67"/>
      <c r="D21" s="68">
        <f>+'กระดาษทำการ 30 เม.ย.58'!BP24</f>
        <v>0</v>
      </c>
      <c r="E21" s="68">
        <f>+'กระดาษทำการ 30 เม.ย.58'!BQ24</f>
        <v>0</v>
      </c>
      <c r="F21" s="91"/>
      <c r="G21" s="91"/>
      <c r="H21" s="62">
        <f t="shared" si="0"/>
        <v>0</v>
      </c>
      <c r="I21" s="68"/>
      <c r="J21" s="91"/>
      <c r="K21" s="91"/>
      <c r="L21" s="68">
        <f t="shared" si="20"/>
        <v>0</v>
      </c>
      <c r="M21" s="68"/>
      <c r="N21" s="91"/>
      <c r="O21" s="91"/>
      <c r="P21" s="62">
        <f t="shared" si="11"/>
        <v>0</v>
      </c>
      <c r="Q21" s="68"/>
      <c r="R21" s="91"/>
      <c r="S21" s="91"/>
      <c r="T21" s="68"/>
      <c r="U21" s="68"/>
      <c r="V21" s="91"/>
      <c r="W21" s="91"/>
      <c r="X21" s="68"/>
      <c r="Y21" s="68"/>
      <c r="Z21" s="91"/>
      <c r="AA21" s="91"/>
      <c r="AB21" s="62">
        <f t="shared" si="1"/>
        <v>0</v>
      </c>
      <c r="AC21" s="68"/>
      <c r="AD21" s="91"/>
      <c r="AE21" s="91"/>
      <c r="AF21" s="62">
        <f t="shared" si="2"/>
        <v>0</v>
      </c>
      <c r="AG21" s="68"/>
      <c r="AH21" s="91"/>
      <c r="AI21" s="91"/>
      <c r="AJ21" s="62">
        <f t="shared" si="12"/>
        <v>0</v>
      </c>
      <c r="AK21" s="68">
        <f t="shared" si="14"/>
        <v>0</v>
      </c>
      <c r="AL21" s="91"/>
      <c r="AM21" s="91"/>
      <c r="AN21" s="68">
        <f t="shared" si="21"/>
        <v>0</v>
      </c>
      <c r="AO21" s="68"/>
      <c r="AP21" s="91"/>
      <c r="AQ21" s="91"/>
      <c r="AR21" s="62">
        <f t="shared" si="3"/>
        <v>0</v>
      </c>
      <c r="AS21" s="68">
        <f t="shared" si="18"/>
        <v>0</v>
      </c>
      <c r="AT21" s="91"/>
      <c r="AU21" s="91"/>
      <c r="AV21" s="62">
        <f t="shared" si="4"/>
        <v>0</v>
      </c>
      <c r="AW21" s="68"/>
      <c r="AX21" s="91"/>
      <c r="AY21" s="91"/>
      <c r="AZ21" s="62">
        <f t="shared" si="5"/>
        <v>0</v>
      </c>
      <c r="BA21" s="68"/>
      <c r="BB21" s="91"/>
      <c r="BC21" s="91"/>
      <c r="BD21" s="62">
        <f t="shared" si="6"/>
        <v>0</v>
      </c>
      <c r="BE21" s="68"/>
      <c r="BF21" s="91"/>
      <c r="BG21" s="91"/>
      <c r="BH21" s="62">
        <f t="shared" si="7"/>
        <v>0</v>
      </c>
      <c r="BI21" s="68"/>
      <c r="BJ21" s="91"/>
      <c r="BK21" s="91"/>
      <c r="BL21" s="62">
        <f t="shared" si="8"/>
        <v>0</v>
      </c>
      <c r="BM21" s="68"/>
      <c r="BN21" s="91"/>
      <c r="BO21" s="91"/>
      <c r="BP21" s="62">
        <f t="shared" si="9"/>
        <v>0</v>
      </c>
      <c r="BQ21" s="68"/>
      <c r="BR21" s="68"/>
      <c r="BS21" s="68"/>
      <c r="BT21" s="68"/>
      <c r="BU21" s="68">
        <f>E21</f>
        <v>0</v>
      </c>
      <c r="BV21" s="31">
        <v>13</v>
      </c>
      <c r="BW21" s="32">
        <v>2978</v>
      </c>
      <c r="BX21" s="27"/>
      <c r="BY21" s="32"/>
      <c r="BZ21" s="32"/>
      <c r="CA21" s="32"/>
      <c r="CB21" s="32"/>
      <c r="CC21" s="32"/>
      <c r="CD21" s="32"/>
      <c r="CE21" s="32"/>
      <c r="CF21" s="32"/>
      <c r="CG21" s="32"/>
    </row>
    <row r="22" spans="1:85" x14ac:dyDescent="0.5">
      <c r="A22" s="61">
        <v>16</v>
      </c>
      <c r="B22" s="81" t="s">
        <v>50</v>
      </c>
      <c r="C22" s="67"/>
      <c r="D22" s="68">
        <f>+'กระดาษทำการ 30 เม.ย.58'!BP25</f>
        <v>5387</v>
      </c>
      <c r="E22" s="68">
        <f>+'กระดาษทำการ 30 เม.ย.58'!BQ25</f>
        <v>0</v>
      </c>
      <c r="F22" s="91"/>
      <c r="G22" s="91"/>
      <c r="H22" s="62">
        <f t="shared" si="0"/>
        <v>5387</v>
      </c>
      <c r="I22" s="68"/>
      <c r="J22" s="91"/>
      <c r="K22" s="91"/>
      <c r="L22" s="68">
        <f t="shared" si="20"/>
        <v>5387</v>
      </c>
      <c r="M22" s="68"/>
      <c r="N22" s="91"/>
      <c r="O22" s="91"/>
      <c r="P22" s="62">
        <f t="shared" si="11"/>
        <v>5387</v>
      </c>
      <c r="Q22" s="68"/>
      <c r="R22" s="91"/>
      <c r="S22" s="91"/>
      <c r="T22" s="68">
        <f>+P22+R22-S22</f>
        <v>5387</v>
      </c>
      <c r="U22" s="68"/>
      <c r="V22" s="91"/>
      <c r="W22" s="91"/>
      <c r="X22" s="68">
        <f>+T22+V22-W22</f>
        <v>5387</v>
      </c>
      <c r="Y22" s="68"/>
      <c r="Z22" s="91"/>
      <c r="AA22" s="91"/>
      <c r="AB22" s="62">
        <f t="shared" si="1"/>
        <v>5387</v>
      </c>
      <c r="AC22" s="68"/>
      <c r="AD22" s="91"/>
      <c r="AE22" s="91"/>
      <c r="AF22" s="62">
        <f t="shared" si="2"/>
        <v>5387</v>
      </c>
      <c r="AG22" s="68"/>
      <c r="AH22" s="91"/>
      <c r="AI22" s="91"/>
      <c r="AJ22" s="62">
        <f t="shared" si="12"/>
        <v>5387</v>
      </c>
      <c r="AK22" s="68">
        <f t="shared" si="14"/>
        <v>0</v>
      </c>
      <c r="AL22" s="91"/>
      <c r="AM22" s="91"/>
      <c r="AN22" s="68">
        <f t="shared" si="21"/>
        <v>5387</v>
      </c>
      <c r="AO22" s="68"/>
      <c r="AP22" s="91"/>
      <c r="AQ22" s="91"/>
      <c r="AR22" s="62">
        <f t="shared" si="3"/>
        <v>5387</v>
      </c>
      <c r="AS22" s="68">
        <f t="shared" si="18"/>
        <v>0</v>
      </c>
      <c r="AT22" s="91"/>
      <c r="AU22" s="91"/>
      <c r="AV22" s="62">
        <f t="shared" si="4"/>
        <v>5387</v>
      </c>
      <c r="AW22" s="68"/>
      <c r="AX22" s="91"/>
      <c r="AY22" s="91"/>
      <c r="AZ22" s="62">
        <f t="shared" si="5"/>
        <v>5387</v>
      </c>
      <c r="BA22" s="68"/>
      <c r="BB22" s="91"/>
      <c r="BC22" s="91"/>
      <c r="BD22" s="62">
        <f t="shared" si="6"/>
        <v>5387</v>
      </c>
      <c r="BE22" s="68"/>
      <c r="BF22" s="91"/>
      <c r="BG22" s="91"/>
      <c r="BH22" s="62">
        <f t="shared" si="7"/>
        <v>5387</v>
      </c>
      <c r="BI22" s="68"/>
      <c r="BJ22" s="91"/>
      <c r="BK22" s="91"/>
      <c r="BL22" s="62">
        <f t="shared" si="8"/>
        <v>5387</v>
      </c>
      <c r="BM22" s="68"/>
      <c r="BN22" s="91"/>
      <c r="BO22" s="91"/>
      <c r="BP22" s="62">
        <f t="shared" si="9"/>
        <v>5387</v>
      </c>
      <c r="BQ22" s="68"/>
      <c r="BR22" s="68"/>
      <c r="BS22" s="68"/>
      <c r="BT22" s="68">
        <f t="shared" ref="BT22:BT27" si="22">D22+BR22-BS22</f>
        <v>5387</v>
      </c>
      <c r="BU22" s="68"/>
      <c r="BV22" s="31"/>
      <c r="BW22" s="32"/>
      <c r="BX22" s="27"/>
      <c r="BY22" s="32"/>
      <c r="BZ22" s="32">
        <f>BT22+BW22-BY22</f>
        <v>5387</v>
      </c>
      <c r="CA22" s="32"/>
      <c r="CB22" s="32"/>
      <c r="CC22" s="32"/>
      <c r="CD22" s="32"/>
      <c r="CE22" s="32"/>
      <c r="CF22" s="32">
        <f t="shared" ref="CF22:CF31" si="23">BZ22</f>
        <v>5387</v>
      </c>
      <c r="CG22" s="32"/>
    </row>
    <row r="23" spans="1:85" x14ac:dyDescent="0.5">
      <c r="A23" s="61">
        <v>17</v>
      </c>
      <c r="B23" s="81" t="s">
        <v>8</v>
      </c>
      <c r="C23" s="67">
        <v>63</v>
      </c>
      <c r="D23" s="68">
        <f>+'กระดาษทำการ 30 เม.ย.58'!BP26</f>
        <v>1222</v>
      </c>
      <c r="E23" s="68">
        <f>+'กระดาษทำการ 30 เม.ย.58'!BQ26</f>
        <v>0</v>
      </c>
      <c r="F23" s="91"/>
      <c r="G23" s="91"/>
      <c r="H23" s="62">
        <f t="shared" si="0"/>
        <v>1222</v>
      </c>
      <c r="I23" s="68"/>
      <c r="J23" s="91"/>
      <c r="K23" s="91"/>
      <c r="L23" s="68">
        <f t="shared" si="20"/>
        <v>1222</v>
      </c>
      <c r="M23" s="68"/>
      <c r="N23" s="91"/>
      <c r="O23" s="91"/>
      <c r="P23" s="62">
        <f t="shared" si="11"/>
        <v>1222</v>
      </c>
      <c r="Q23" s="68"/>
      <c r="R23" s="91"/>
      <c r="S23" s="91"/>
      <c r="T23" s="68">
        <f t="shared" ref="T23:T30" si="24">+P23+R23-S23</f>
        <v>1222</v>
      </c>
      <c r="U23" s="68"/>
      <c r="V23" s="91"/>
      <c r="W23" s="91"/>
      <c r="X23" s="68">
        <f>+T23+V23-W23</f>
        <v>1222</v>
      </c>
      <c r="Y23" s="68"/>
      <c r="Z23" s="91"/>
      <c r="AA23" s="91"/>
      <c r="AB23" s="62">
        <f t="shared" si="1"/>
        <v>1222</v>
      </c>
      <c r="AC23" s="68"/>
      <c r="AD23" s="91"/>
      <c r="AE23" s="91"/>
      <c r="AF23" s="62">
        <f t="shared" si="2"/>
        <v>1222</v>
      </c>
      <c r="AG23" s="68"/>
      <c r="AH23" s="91"/>
      <c r="AI23" s="91"/>
      <c r="AJ23" s="62">
        <f t="shared" si="12"/>
        <v>1222</v>
      </c>
      <c r="AK23" s="68">
        <f t="shared" si="14"/>
        <v>0</v>
      </c>
      <c r="AL23" s="91"/>
      <c r="AM23" s="91"/>
      <c r="AN23" s="68">
        <f t="shared" si="21"/>
        <v>1222</v>
      </c>
      <c r="AO23" s="68"/>
      <c r="AP23" s="91"/>
      <c r="AQ23" s="91"/>
      <c r="AR23" s="62">
        <f t="shared" si="3"/>
        <v>1222</v>
      </c>
      <c r="AS23" s="68">
        <f t="shared" si="18"/>
        <v>0</v>
      </c>
      <c r="AT23" s="91"/>
      <c r="AU23" s="91"/>
      <c r="AV23" s="62">
        <f t="shared" si="4"/>
        <v>1222</v>
      </c>
      <c r="AW23" s="68"/>
      <c r="AX23" s="91"/>
      <c r="AY23" s="91"/>
      <c r="AZ23" s="62">
        <f t="shared" si="5"/>
        <v>1222</v>
      </c>
      <c r="BA23" s="68"/>
      <c r="BB23" s="91"/>
      <c r="BC23" s="91"/>
      <c r="BD23" s="62">
        <f t="shared" si="6"/>
        <v>1222</v>
      </c>
      <c r="BE23" s="68"/>
      <c r="BF23" s="91"/>
      <c r="BG23" s="91"/>
      <c r="BH23" s="62">
        <f t="shared" si="7"/>
        <v>1222</v>
      </c>
      <c r="BI23" s="68"/>
      <c r="BJ23" s="91"/>
      <c r="BK23" s="91"/>
      <c r="BL23" s="62">
        <f t="shared" si="8"/>
        <v>1222</v>
      </c>
      <c r="BM23" s="68"/>
      <c r="BN23" s="91"/>
      <c r="BO23" s="91"/>
      <c r="BP23" s="62">
        <f t="shared" si="9"/>
        <v>1222</v>
      </c>
      <c r="BQ23" s="68"/>
      <c r="BR23" s="68"/>
      <c r="BS23" s="68"/>
      <c r="BT23" s="68">
        <f t="shared" si="22"/>
        <v>1222</v>
      </c>
      <c r="BU23" s="68"/>
      <c r="BV23" s="31"/>
      <c r="BW23" s="32"/>
      <c r="BX23" s="27"/>
      <c r="BY23" s="32"/>
      <c r="BZ23" s="32">
        <f>BT23+BW23-BY23</f>
        <v>1222</v>
      </c>
      <c r="CA23" s="32"/>
      <c r="CB23" s="32"/>
      <c r="CC23" s="32"/>
      <c r="CD23" s="32"/>
      <c r="CE23" s="32"/>
      <c r="CF23" s="32">
        <f t="shared" si="23"/>
        <v>1222</v>
      </c>
      <c r="CG23" s="32"/>
    </row>
    <row r="24" spans="1:85" x14ac:dyDescent="0.5">
      <c r="A24" s="61">
        <v>18</v>
      </c>
      <c r="B24" s="81" t="s">
        <v>51</v>
      </c>
      <c r="C24" s="67">
        <v>175</v>
      </c>
      <c r="D24" s="68">
        <f>+'กระดาษทำการ 30 เม.ย.58'!BP27</f>
        <v>0</v>
      </c>
      <c r="E24" s="68">
        <f>+'กระดาษทำการ 30 เม.ย.58'!BQ27</f>
        <v>0</v>
      </c>
      <c r="F24" s="91"/>
      <c r="G24" s="91"/>
      <c r="H24" s="62">
        <f t="shared" si="0"/>
        <v>0</v>
      </c>
      <c r="I24" s="68"/>
      <c r="J24" s="91"/>
      <c r="K24" s="91"/>
      <c r="L24" s="68">
        <f t="shared" si="20"/>
        <v>0</v>
      </c>
      <c r="M24" s="68"/>
      <c r="N24" s="91"/>
      <c r="O24" s="91"/>
      <c r="P24" s="62">
        <f t="shared" si="11"/>
        <v>0</v>
      </c>
      <c r="Q24" s="68"/>
      <c r="R24" s="91"/>
      <c r="S24" s="91"/>
      <c r="T24" s="68">
        <f t="shared" si="24"/>
        <v>0</v>
      </c>
      <c r="U24" s="68"/>
      <c r="V24" s="91"/>
      <c r="W24" s="91"/>
      <c r="X24" s="68">
        <f t="shared" ref="X24:X35" si="25">+T24+V24-W24</f>
        <v>0</v>
      </c>
      <c r="Y24" s="68"/>
      <c r="Z24" s="91"/>
      <c r="AA24" s="91"/>
      <c r="AB24" s="62">
        <f t="shared" si="1"/>
        <v>0</v>
      </c>
      <c r="AC24" s="68"/>
      <c r="AD24" s="91"/>
      <c r="AE24" s="91"/>
      <c r="AF24" s="62">
        <f t="shared" si="2"/>
        <v>0</v>
      </c>
      <c r="AG24" s="68"/>
      <c r="AH24" s="91"/>
      <c r="AI24" s="91"/>
      <c r="AJ24" s="62">
        <f t="shared" si="12"/>
        <v>0</v>
      </c>
      <c r="AK24" s="68">
        <f t="shared" si="14"/>
        <v>0</v>
      </c>
      <c r="AL24" s="91"/>
      <c r="AM24" s="91"/>
      <c r="AN24" s="68">
        <f t="shared" si="21"/>
        <v>0</v>
      </c>
      <c r="AO24" s="68"/>
      <c r="AP24" s="91"/>
      <c r="AQ24" s="91"/>
      <c r="AR24" s="62">
        <f t="shared" si="3"/>
        <v>0</v>
      </c>
      <c r="AS24" s="68">
        <f t="shared" si="18"/>
        <v>0</v>
      </c>
      <c r="AT24" s="91"/>
      <c r="AU24" s="91"/>
      <c r="AV24" s="62">
        <f t="shared" si="4"/>
        <v>0</v>
      </c>
      <c r="AW24" s="68"/>
      <c r="AX24" s="91"/>
      <c r="AY24" s="91"/>
      <c r="AZ24" s="62">
        <f t="shared" si="5"/>
        <v>0</v>
      </c>
      <c r="BA24" s="68"/>
      <c r="BB24" s="91"/>
      <c r="BC24" s="91"/>
      <c r="BD24" s="62">
        <f t="shared" si="6"/>
        <v>0</v>
      </c>
      <c r="BE24" s="68"/>
      <c r="BF24" s="91"/>
      <c r="BG24" s="91"/>
      <c r="BH24" s="62">
        <f t="shared" si="7"/>
        <v>0</v>
      </c>
      <c r="BI24" s="68"/>
      <c r="BJ24" s="91"/>
      <c r="BK24" s="91"/>
      <c r="BL24" s="62">
        <f t="shared" si="8"/>
        <v>0</v>
      </c>
      <c r="BM24" s="68"/>
      <c r="BN24" s="91"/>
      <c r="BO24" s="91"/>
      <c r="BP24" s="62">
        <f t="shared" si="9"/>
        <v>0</v>
      </c>
      <c r="BQ24" s="68"/>
      <c r="BR24" s="68"/>
      <c r="BS24" s="68"/>
      <c r="BT24" s="68">
        <f t="shared" si="22"/>
        <v>0</v>
      </c>
      <c r="BU24" s="68"/>
      <c r="BV24" s="31"/>
      <c r="BW24" s="32"/>
      <c r="BX24" s="27"/>
      <c r="BY24" s="32"/>
      <c r="BZ24" s="32"/>
      <c r="CA24" s="32"/>
      <c r="CB24" s="32"/>
      <c r="CC24" s="32"/>
      <c r="CD24" s="32"/>
      <c r="CE24" s="32"/>
      <c r="CF24" s="32">
        <f t="shared" si="23"/>
        <v>0</v>
      </c>
      <c r="CG24" s="32"/>
    </row>
    <row r="25" spans="1:85" x14ac:dyDescent="0.5">
      <c r="A25" s="61">
        <v>19</v>
      </c>
      <c r="B25" s="81" t="s">
        <v>52</v>
      </c>
      <c r="C25" s="67">
        <v>71</v>
      </c>
      <c r="D25" s="68">
        <f>+'กระดาษทำการ 30 เม.ย.58'!BP28</f>
        <v>10000</v>
      </c>
      <c r="E25" s="68">
        <f>+'กระดาษทำการ 30 เม.ย.58'!BQ28</f>
        <v>0</v>
      </c>
      <c r="F25" s="91"/>
      <c r="G25" s="91"/>
      <c r="H25" s="68">
        <f t="shared" si="0"/>
        <v>10000</v>
      </c>
      <c r="I25" s="68"/>
      <c r="J25" s="91"/>
      <c r="K25" s="91"/>
      <c r="L25" s="68">
        <f t="shared" si="20"/>
        <v>10000</v>
      </c>
      <c r="M25" s="68"/>
      <c r="N25" s="91"/>
      <c r="O25" s="91"/>
      <c r="P25" s="68">
        <f t="shared" si="11"/>
        <v>10000</v>
      </c>
      <c r="Q25" s="68"/>
      <c r="R25" s="91"/>
      <c r="S25" s="91"/>
      <c r="T25" s="68">
        <f t="shared" si="24"/>
        <v>10000</v>
      </c>
      <c r="U25" s="68"/>
      <c r="V25" s="91"/>
      <c r="W25" s="91"/>
      <c r="X25" s="68">
        <f t="shared" si="25"/>
        <v>10000</v>
      </c>
      <c r="Y25" s="68"/>
      <c r="Z25" s="91"/>
      <c r="AA25" s="91"/>
      <c r="AB25" s="68">
        <f t="shared" si="1"/>
        <v>10000</v>
      </c>
      <c r="AC25" s="68"/>
      <c r="AD25" s="91"/>
      <c r="AE25" s="91"/>
      <c r="AF25" s="68">
        <f t="shared" si="2"/>
        <v>10000</v>
      </c>
      <c r="AG25" s="68"/>
      <c r="AH25" s="91"/>
      <c r="AI25" s="91"/>
      <c r="AJ25" s="68">
        <f t="shared" si="12"/>
        <v>10000</v>
      </c>
      <c r="AK25" s="68">
        <f t="shared" si="14"/>
        <v>0</v>
      </c>
      <c r="AL25" s="91"/>
      <c r="AM25" s="91"/>
      <c r="AN25" s="68">
        <f t="shared" si="21"/>
        <v>10000</v>
      </c>
      <c r="AO25" s="68"/>
      <c r="AP25" s="91"/>
      <c r="AQ25" s="91"/>
      <c r="AR25" s="68">
        <f t="shared" si="3"/>
        <v>10000</v>
      </c>
      <c r="AS25" s="68">
        <f t="shared" si="18"/>
        <v>0</v>
      </c>
      <c r="AT25" s="91"/>
      <c r="AU25" s="91"/>
      <c r="AV25" s="68">
        <f t="shared" si="4"/>
        <v>10000</v>
      </c>
      <c r="AW25" s="68"/>
      <c r="AX25" s="91"/>
      <c r="AY25" s="91"/>
      <c r="AZ25" s="62">
        <f t="shared" si="5"/>
        <v>10000</v>
      </c>
      <c r="BA25" s="68"/>
      <c r="BB25" s="91"/>
      <c r="BC25" s="91"/>
      <c r="BD25" s="62">
        <f t="shared" si="6"/>
        <v>10000</v>
      </c>
      <c r="BE25" s="68"/>
      <c r="BF25" s="91"/>
      <c r="BG25" s="91"/>
      <c r="BH25" s="62">
        <f t="shared" si="7"/>
        <v>10000</v>
      </c>
      <c r="BI25" s="68"/>
      <c r="BJ25" s="91"/>
      <c r="BK25" s="91"/>
      <c r="BL25" s="62">
        <f t="shared" si="8"/>
        <v>10000</v>
      </c>
      <c r="BM25" s="68"/>
      <c r="BN25" s="91"/>
      <c r="BO25" s="91"/>
      <c r="BP25" s="62">
        <f t="shared" si="9"/>
        <v>10000</v>
      </c>
      <c r="BQ25" s="68"/>
      <c r="BR25" s="68"/>
      <c r="BS25" s="68"/>
      <c r="BT25" s="68">
        <f t="shared" si="22"/>
        <v>10000</v>
      </c>
      <c r="BU25" s="68"/>
      <c r="BV25" s="31"/>
      <c r="BW25" s="32"/>
      <c r="BX25" s="27"/>
      <c r="BY25" s="32"/>
      <c r="BZ25" s="32">
        <f>BT25+BW25-BY25</f>
        <v>10000</v>
      </c>
      <c r="CA25" s="32"/>
      <c r="CB25" s="32"/>
      <c r="CC25" s="32"/>
      <c r="CD25" s="32"/>
      <c r="CE25" s="32"/>
      <c r="CF25" s="32">
        <f t="shared" si="23"/>
        <v>10000</v>
      </c>
      <c r="CG25" s="32"/>
    </row>
    <row r="26" spans="1:85" x14ac:dyDescent="0.5">
      <c r="A26" s="61">
        <v>20</v>
      </c>
      <c r="B26" s="81" t="s">
        <v>21</v>
      </c>
      <c r="C26" s="67">
        <v>75</v>
      </c>
      <c r="D26" s="68">
        <f>+'กระดาษทำการ 30 เม.ย.58'!BP29</f>
        <v>18199.669999999998</v>
      </c>
      <c r="E26" s="68">
        <f>+'กระดาษทำการ 30 เม.ย.58'!BQ29</f>
        <v>0</v>
      </c>
      <c r="F26" s="119">
        <v>3500</v>
      </c>
      <c r="G26" s="119"/>
      <c r="H26" s="62">
        <f t="shared" si="0"/>
        <v>21699.67</v>
      </c>
      <c r="I26" s="68"/>
      <c r="J26" s="91"/>
      <c r="K26" s="91"/>
      <c r="L26" s="68">
        <f>+H26+J26-K26</f>
        <v>21699.67</v>
      </c>
      <c r="M26" s="68"/>
      <c r="N26" s="91"/>
      <c r="O26" s="91"/>
      <c r="P26" s="62">
        <f t="shared" si="11"/>
        <v>21699.67</v>
      </c>
      <c r="Q26" s="68"/>
      <c r="R26" s="91"/>
      <c r="S26" s="91"/>
      <c r="T26" s="68">
        <f t="shared" si="24"/>
        <v>21699.67</v>
      </c>
      <c r="U26" s="68"/>
      <c r="V26" s="91"/>
      <c r="W26" s="91"/>
      <c r="X26" s="68">
        <f t="shared" si="25"/>
        <v>21699.67</v>
      </c>
      <c r="Y26" s="68"/>
      <c r="Z26" s="91"/>
      <c r="AA26" s="91"/>
      <c r="AB26" s="62">
        <f t="shared" si="1"/>
        <v>21699.67</v>
      </c>
      <c r="AC26" s="68"/>
      <c r="AD26" s="91"/>
      <c r="AE26" s="91"/>
      <c r="AF26" s="62">
        <f t="shared" si="2"/>
        <v>21699.67</v>
      </c>
      <c r="AG26" s="68"/>
      <c r="AH26" s="91"/>
      <c r="AI26" s="91"/>
      <c r="AJ26" s="62">
        <f t="shared" si="12"/>
        <v>21699.67</v>
      </c>
      <c r="AK26" s="68">
        <f t="shared" si="14"/>
        <v>0</v>
      </c>
      <c r="AL26" s="91"/>
      <c r="AM26" s="91"/>
      <c r="AN26" s="68">
        <f t="shared" si="21"/>
        <v>21699.67</v>
      </c>
      <c r="AO26" s="68"/>
      <c r="AP26" s="91"/>
      <c r="AQ26" s="91"/>
      <c r="AR26" s="62">
        <f t="shared" si="3"/>
        <v>21699.67</v>
      </c>
      <c r="AS26" s="68">
        <f t="shared" si="18"/>
        <v>0</v>
      </c>
      <c r="AT26" s="91"/>
      <c r="AU26" s="91"/>
      <c r="AV26" s="62">
        <f t="shared" si="4"/>
        <v>21699.67</v>
      </c>
      <c r="AW26" s="68"/>
      <c r="AX26" s="91"/>
      <c r="AY26" s="91"/>
      <c r="AZ26" s="62">
        <f t="shared" si="5"/>
        <v>21699.67</v>
      </c>
      <c r="BA26" s="68"/>
      <c r="BB26" s="91">
        <v>4690</v>
      </c>
      <c r="BC26" s="91"/>
      <c r="BD26" s="62">
        <f t="shared" si="6"/>
        <v>26389.67</v>
      </c>
      <c r="BE26" s="68"/>
      <c r="BF26" s="91"/>
      <c r="BG26" s="91"/>
      <c r="BH26" s="62">
        <f t="shared" si="7"/>
        <v>26389.67</v>
      </c>
      <c r="BI26" s="68"/>
      <c r="BJ26" s="91"/>
      <c r="BK26" s="91"/>
      <c r="BL26" s="62">
        <f t="shared" si="8"/>
        <v>26389.67</v>
      </c>
      <c r="BM26" s="68"/>
      <c r="BN26" s="91"/>
      <c r="BO26" s="91"/>
      <c r="BP26" s="62">
        <f t="shared" si="9"/>
        <v>26389.67</v>
      </c>
      <c r="BQ26" s="68"/>
      <c r="BR26" s="68"/>
      <c r="BS26" s="68"/>
      <c r="BT26" s="68">
        <f t="shared" si="22"/>
        <v>18199.669999999998</v>
      </c>
      <c r="BU26" s="68"/>
      <c r="BV26" s="31"/>
      <c r="BW26" s="32"/>
      <c r="BX26" s="27">
        <v>4</v>
      </c>
      <c r="BY26" s="32">
        <v>7412</v>
      </c>
      <c r="BZ26" s="32">
        <f>+BT26-BY26</f>
        <v>10787.669999999998</v>
      </c>
      <c r="CA26" s="32"/>
      <c r="CB26" s="32"/>
      <c r="CC26" s="32"/>
      <c r="CD26" s="32"/>
      <c r="CE26" s="32"/>
      <c r="CF26" s="32">
        <f t="shared" si="23"/>
        <v>10787.669999999998</v>
      </c>
      <c r="CG26" s="32"/>
    </row>
    <row r="27" spans="1:85" x14ac:dyDescent="0.5">
      <c r="A27" s="61">
        <v>21</v>
      </c>
      <c r="B27" s="82" t="s">
        <v>53</v>
      </c>
      <c r="C27" s="67">
        <v>79</v>
      </c>
      <c r="D27" s="68">
        <f>+'กระดาษทำการ 30 เม.ย.58'!BP30</f>
        <v>0</v>
      </c>
      <c r="E27" s="68">
        <f>+'กระดาษทำการ 30 เม.ย.58'!BQ30</f>
        <v>0</v>
      </c>
      <c r="F27" s="91"/>
      <c r="G27" s="91"/>
      <c r="H27" s="68">
        <f t="shared" si="0"/>
        <v>0</v>
      </c>
      <c r="I27" s="68"/>
      <c r="J27" s="91"/>
      <c r="K27" s="91"/>
      <c r="L27" s="68">
        <f t="shared" si="20"/>
        <v>0</v>
      </c>
      <c r="M27" s="68"/>
      <c r="N27" s="91"/>
      <c r="O27" s="91"/>
      <c r="P27" s="68">
        <f t="shared" si="11"/>
        <v>0</v>
      </c>
      <c r="Q27" s="68"/>
      <c r="R27" s="91"/>
      <c r="S27" s="91"/>
      <c r="T27" s="68">
        <f>+P27+R27-S27</f>
        <v>0</v>
      </c>
      <c r="U27" s="68"/>
      <c r="V27" s="91"/>
      <c r="W27" s="91"/>
      <c r="X27" s="68">
        <f t="shared" si="25"/>
        <v>0</v>
      </c>
      <c r="Y27" s="68"/>
      <c r="Z27" s="91"/>
      <c r="AA27" s="91"/>
      <c r="AB27" s="68">
        <f t="shared" si="1"/>
        <v>0</v>
      </c>
      <c r="AC27" s="68"/>
      <c r="AD27" s="91"/>
      <c r="AE27" s="91"/>
      <c r="AF27" s="68">
        <f t="shared" si="2"/>
        <v>0</v>
      </c>
      <c r="AG27" s="68"/>
      <c r="AH27" s="91"/>
      <c r="AI27" s="91"/>
      <c r="AJ27" s="68">
        <f t="shared" si="12"/>
        <v>0</v>
      </c>
      <c r="AK27" s="68">
        <f t="shared" si="14"/>
        <v>0</v>
      </c>
      <c r="AL27" s="91"/>
      <c r="AM27" s="91"/>
      <c r="AN27" s="68">
        <f t="shared" si="21"/>
        <v>0</v>
      </c>
      <c r="AO27" s="68"/>
      <c r="AP27" s="91"/>
      <c r="AQ27" s="91"/>
      <c r="AR27" s="68">
        <f t="shared" si="3"/>
        <v>0</v>
      </c>
      <c r="AS27" s="68">
        <f t="shared" si="18"/>
        <v>0</v>
      </c>
      <c r="AT27" s="91"/>
      <c r="AU27" s="91"/>
      <c r="AV27" s="68">
        <f t="shared" si="4"/>
        <v>0</v>
      </c>
      <c r="AW27" s="68"/>
      <c r="AX27" s="91"/>
      <c r="AY27" s="91"/>
      <c r="AZ27" s="62">
        <f t="shared" si="5"/>
        <v>0</v>
      </c>
      <c r="BA27" s="68"/>
      <c r="BB27" s="91"/>
      <c r="BC27" s="91"/>
      <c r="BD27" s="62">
        <f t="shared" si="6"/>
        <v>0</v>
      </c>
      <c r="BE27" s="68"/>
      <c r="BF27" s="91"/>
      <c r="BG27" s="91"/>
      <c r="BH27" s="62">
        <f t="shared" si="7"/>
        <v>0</v>
      </c>
      <c r="BI27" s="68"/>
      <c r="BJ27" s="91"/>
      <c r="BK27" s="91"/>
      <c r="BL27" s="62">
        <f t="shared" si="8"/>
        <v>0</v>
      </c>
      <c r="BM27" s="68"/>
      <c r="BN27" s="91"/>
      <c r="BO27" s="91"/>
      <c r="BP27" s="62">
        <f t="shared" si="9"/>
        <v>0</v>
      </c>
      <c r="BQ27" s="68"/>
      <c r="BR27" s="68"/>
      <c r="BS27" s="68"/>
      <c r="BT27" s="68">
        <f t="shared" si="22"/>
        <v>0</v>
      </c>
      <c r="BU27" s="68"/>
      <c r="BV27" s="31"/>
      <c r="BW27" s="32"/>
      <c r="BX27" s="27">
        <v>15</v>
      </c>
      <c r="BY27" s="32">
        <v>91440</v>
      </c>
      <c r="BZ27" s="32">
        <f>BT27+BW27-BY27</f>
        <v>-91440</v>
      </c>
      <c r="CA27" s="32"/>
      <c r="CB27" s="32"/>
      <c r="CC27" s="32"/>
      <c r="CD27" s="32"/>
      <c r="CE27" s="32"/>
      <c r="CF27" s="32">
        <f t="shared" si="23"/>
        <v>-91440</v>
      </c>
      <c r="CG27" s="32"/>
    </row>
    <row r="28" spans="1:85" x14ac:dyDescent="0.5">
      <c r="A28" s="61">
        <v>22</v>
      </c>
      <c r="B28" s="82" t="s">
        <v>101</v>
      </c>
      <c r="C28" s="67"/>
      <c r="D28" s="68">
        <f>+'กระดาษทำการ 30 เม.ย.58'!BP31</f>
        <v>14740</v>
      </c>
      <c r="E28" s="68">
        <f>+'กระดาษทำการ 30 เม.ย.58'!BQ31</f>
        <v>0</v>
      </c>
      <c r="F28" s="91"/>
      <c r="G28" s="91"/>
      <c r="H28" s="68">
        <f t="shared" si="0"/>
        <v>14740</v>
      </c>
      <c r="I28" s="68"/>
      <c r="J28" s="91"/>
      <c r="K28" s="91"/>
      <c r="L28" s="68">
        <f t="shared" si="20"/>
        <v>14740</v>
      </c>
      <c r="M28" s="68"/>
      <c r="N28" s="91"/>
      <c r="O28" s="91"/>
      <c r="P28" s="68">
        <f t="shared" si="11"/>
        <v>14740</v>
      </c>
      <c r="Q28" s="68"/>
      <c r="R28" s="91"/>
      <c r="S28" s="91"/>
      <c r="T28" s="68">
        <f t="shared" si="24"/>
        <v>14740</v>
      </c>
      <c r="U28" s="68"/>
      <c r="V28" s="91"/>
      <c r="W28" s="91"/>
      <c r="X28" s="68">
        <f>+T28+V28-W28</f>
        <v>14740</v>
      </c>
      <c r="Y28" s="68"/>
      <c r="Z28" s="91"/>
      <c r="AA28" s="91"/>
      <c r="AB28" s="68">
        <f t="shared" si="1"/>
        <v>14740</v>
      </c>
      <c r="AC28" s="68"/>
      <c r="AD28" s="91">
        <v>11200</v>
      </c>
      <c r="AE28" s="91"/>
      <c r="AF28" s="68">
        <f t="shared" si="2"/>
        <v>25940</v>
      </c>
      <c r="AG28" s="68"/>
      <c r="AH28" s="91"/>
      <c r="AI28" s="91"/>
      <c r="AJ28" s="68">
        <f t="shared" si="12"/>
        <v>25940</v>
      </c>
      <c r="AK28" s="68">
        <f t="shared" si="14"/>
        <v>0</v>
      </c>
      <c r="AL28" s="91"/>
      <c r="AM28" s="91"/>
      <c r="AN28" s="68">
        <f>+AJ28</f>
        <v>25940</v>
      </c>
      <c r="AO28" s="68"/>
      <c r="AP28" s="91"/>
      <c r="AQ28" s="91"/>
      <c r="AR28" s="68">
        <f t="shared" si="3"/>
        <v>25940</v>
      </c>
      <c r="AS28" s="68">
        <f t="shared" si="18"/>
        <v>0</v>
      </c>
      <c r="AT28" s="91"/>
      <c r="AU28" s="91"/>
      <c r="AV28" s="68">
        <f t="shared" si="4"/>
        <v>25940</v>
      </c>
      <c r="AW28" s="68"/>
      <c r="AX28" s="91"/>
      <c r="AY28" s="91"/>
      <c r="AZ28" s="68">
        <f t="shared" si="5"/>
        <v>25940</v>
      </c>
      <c r="BA28" s="68"/>
      <c r="BB28" s="91"/>
      <c r="BC28" s="91"/>
      <c r="BD28" s="68">
        <f t="shared" si="6"/>
        <v>25940</v>
      </c>
      <c r="BE28" s="68"/>
      <c r="BF28" s="91"/>
      <c r="BG28" s="91"/>
      <c r="BH28" s="68">
        <f t="shared" si="7"/>
        <v>25940</v>
      </c>
      <c r="BI28" s="68"/>
      <c r="BJ28" s="91"/>
      <c r="BK28" s="91"/>
      <c r="BL28" s="68">
        <f t="shared" si="8"/>
        <v>25940</v>
      </c>
      <c r="BM28" s="68"/>
      <c r="BN28" s="91"/>
      <c r="BO28" s="91"/>
      <c r="BP28" s="68">
        <f t="shared" si="9"/>
        <v>25940</v>
      </c>
      <c r="BQ28" s="68"/>
      <c r="BR28" s="68"/>
      <c r="BS28" s="68"/>
      <c r="BT28" s="68"/>
      <c r="BU28" s="68"/>
      <c r="BV28" s="31">
        <v>17</v>
      </c>
      <c r="BW28" s="32">
        <v>14740</v>
      </c>
      <c r="BX28" s="27"/>
      <c r="BY28" s="32"/>
      <c r="BZ28" s="32">
        <f>BT28+BW28-BY28</f>
        <v>14740</v>
      </c>
      <c r="CA28" s="32"/>
      <c r="CB28" s="32"/>
      <c r="CC28" s="32"/>
      <c r="CD28" s="32"/>
      <c r="CE28" s="32"/>
      <c r="CF28" s="32">
        <f>BZ28</f>
        <v>14740</v>
      </c>
      <c r="CG28" s="32"/>
    </row>
    <row r="29" spans="1:85" x14ac:dyDescent="0.5">
      <c r="A29" s="67">
        <v>23</v>
      </c>
      <c r="B29" s="82" t="s">
        <v>157</v>
      </c>
      <c r="C29" s="67"/>
      <c r="D29" s="68"/>
      <c r="E29" s="68"/>
      <c r="F29" s="91"/>
      <c r="G29" s="91"/>
      <c r="H29" s="68"/>
      <c r="I29" s="68"/>
      <c r="J29" s="91"/>
      <c r="K29" s="91"/>
      <c r="L29" s="68"/>
      <c r="M29" s="68"/>
      <c r="N29" s="91"/>
      <c r="O29" s="91"/>
      <c r="P29" s="68"/>
      <c r="Q29" s="68"/>
      <c r="R29" s="91"/>
      <c r="S29" s="91"/>
      <c r="T29" s="68"/>
      <c r="U29" s="68"/>
      <c r="V29" s="91"/>
      <c r="W29" s="91"/>
      <c r="X29" s="68"/>
      <c r="Y29" s="68"/>
      <c r="Z29" s="91"/>
      <c r="AA29" s="91"/>
      <c r="AB29" s="68"/>
      <c r="AC29" s="68"/>
      <c r="AD29" s="91"/>
      <c r="AE29" s="91"/>
      <c r="AF29" s="68">
        <f t="shared" si="2"/>
        <v>0</v>
      </c>
      <c r="AG29" s="68"/>
      <c r="AH29" s="91"/>
      <c r="AI29" s="91"/>
      <c r="AJ29" s="68">
        <f t="shared" si="12"/>
        <v>0</v>
      </c>
      <c r="AK29" s="68"/>
      <c r="AL29" s="91"/>
      <c r="AM29" s="91"/>
      <c r="AN29" s="68">
        <f>+AJ29</f>
        <v>0</v>
      </c>
      <c r="AO29" s="68"/>
      <c r="AP29" s="91">
        <v>22640</v>
      </c>
      <c r="AQ29" s="91"/>
      <c r="AR29" s="68">
        <f t="shared" si="3"/>
        <v>22640</v>
      </c>
      <c r="AS29" s="68">
        <v>0</v>
      </c>
      <c r="AT29" s="91"/>
      <c r="AU29" s="91"/>
      <c r="AV29" s="68">
        <f t="shared" si="4"/>
        <v>22640</v>
      </c>
      <c r="AW29" s="68"/>
      <c r="AX29" s="91"/>
      <c r="AY29" s="91"/>
      <c r="AZ29" s="68">
        <f t="shared" si="5"/>
        <v>22640</v>
      </c>
      <c r="BA29" s="68"/>
      <c r="BB29" s="91"/>
      <c r="BC29" s="91"/>
      <c r="BD29" s="68">
        <f t="shared" si="6"/>
        <v>22640</v>
      </c>
      <c r="BE29" s="68"/>
      <c r="BF29" s="91"/>
      <c r="BG29" s="91"/>
      <c r="BH29" s="68">
        <f t="shared" si="7"/>
        <v>22640</v>
      </c>
      <c r="BI29" s="68"/>
      <c r="BJ29" s="91"/>
      <c r="BK29" s="91"/>
      <c r="BL29" s="68">
        <f t="shared" si="8"/>
        <v>22640</v>
      </c>
      <c r="BM29" s="68"/>
      <c r="BN29" s="91"/>
      <c r="BO29" s="91"/>
      <c r="BP29" s="68">
        <f t="shared" si="9"/>
        <v>22640</v>
      </c>
      <c r="BQ29" s="68"/>
      <c r="BR29" s="68"/>
      <c r="BS29" s="68"/>
      <c r="BT29" s="68"/>
      <c r="BU29" s="68"/>
      <c r="BV29" s="31"/>
      <c r="BW29" s="32"/>
      <c r="BX29" s="27"/>
      <c r="BY29" s="32"/>
      <c r="BZ29" s="32"/>
      <c r="CA29" s="32"/>
      <c r="CB29" s="32"/>
      <c r="CC29" s="32"/>
      <c r="CD29" s="32"/>
      <c r="CE29" s="32"/>
      <c r="CF29" s="32"/>
      <c r="CG29" s="32"/>
    </row>
    <row r="30" spans="1:85" ht="24" x14ac:dyDescent="0.55000000000000004">
      <c r="A30" s="61">
        <v>24</v>
      </c>
      <c r="B30" s="81" t="s">
        <v>20</v>
      </c>
      <c r="C30" s="67">
        <v>81</v>
      </c>
      <c r="D30" s="68">
        <f>+'กระดาษทำการ 30 เม.ย.58'!BP32</f>
        <v>5012808.46</v>
      </c>
      <c r="E30" s="68">
        <f>+'กระดาษทำการ 30 เม.ย.58'!BQ32</f>
        <v>0</v>
      </c>
      <c r="F30" s="119">
        <v>10000</v>
      </c>
      <c r="G30" s="119"/>
      <c r="H30" s="62">
        <f t="shared" si="0"/>
        <v>5022808.46</v>
      </c>
      <c r="I30" s="68"/>
      <c r="J30" s="119"/>
      <c r="K30" s="119">
        <v>20000</v>
      </c>
      <c r="L30" s="68">
        <f>+H30+J30-K30</f>
        <v>5002808.46</v>
      </c>
      <c r="M30" s="68"/>
      <c r="N30" s="119">
        <v>322000</v>
      </c>
      <c r="O30" s="119">
        <v>280000</v>
      </c>
      <c r="P30" s="62">
        <f t="shared" si="11"/>
        <v>5044808.46</v>
      </c>
      <c r="Q30" s="68"/>
      <c r="R30" s="91"/>
      <c r="S30" s="91"/>
      <c r="T30" s="68">
        <f t="shared" si="24"/>
        <v>5044808.46</v>
      </c>
      <c r="U30" s="68"/>
      <c r="V30" s="91"/>
      <c r="W30" s="91"/>
      <c r="X30" s="68">
        <f t="shared" si="25"/>
        <v>5044808.46</v>
      </c>
      <c r="Y30" s="68"/>
      <c r="Z30" s="92">
        <v>80000</v>
      </c>
      <c r="AA30" s="92">
        <v>90000</v>
      </c>
      <c r="AB30" s="62">
        <f t="shared" si="1"/>
        <v>5034808.46</v>
      </c>
      <c r="AC30" s="68"/>
      <c r="AD30" s="91">
        <f>10000+20000</f>
        <v>30000</v>
      </c>
      <c r="AE30" s="91">
        <f>10000+10000+14476.34</f>
        <v>34476.339999999997</v>
      </c>
      <c r="AF30" s="62">
        <f t="shared" si="2"/>
        <v>5030332.12</v>
      </c>
      <c r="AG30" s="68"/>
      <c r="AH30" s="91"/>
      <c r="AI30" s="91"/>
      <c r="AJ30" s="62">
        <f t="shared" si="12"/>
        <v>5030332.12</v>
      </c>
      <c r="AK30" s="68">
        <f t="shared" si="14"/>
        <v>0</v>
      </c>
      <c r="AL30" s="91">
        <f>265000+322000</f>
        <v>587000</v>
      </c>
      <c r="AM30" s="91">
        <f>37000+83000+90000+322000</f>
        <v>532000</v>
      </c>
      <c r="AN30" s="68">
        <f>+AJ30+AL30-AM30</f>
        <v>5085332.12</v>
      </c>
      <c r="AO30" s="68"/>
      <c r="AP30" s="91">
        <v>530000</v>
      </c>
      <c r="AQ30" s="91">
        <v>496000</v>
      </c>
      <c r="AR30" s="62">
        <f t="shared" si="3"/>
        <v>5119332.12</v>
      </c>
      <c r="AS30" s="68">
        <v>0</v>
      </c>
      <c r="AT30" s="92">
        <f>316000+427000</f>
        <v>743000</v>
      </c>
      <c r="AU30" s="92">
        <f>402000+296000</f>
        <v>698000</v>
      </c>
      <c r="AV30" s="62">
        <f t="shared" si="4"/>
        <v>5164332.12</v>
      </c>
      <c r="AW30" s="68"/>
      <c r="AX30" s="91">
        <f>658700+80000+169000</f>
        <v>907700</v>
      </c>
      <c r="AY30" s="91">
        <f>90000+588698+80000+140000</f>
        <v>898698</v>
      </c>
      <c r="AZ30" s="62">
        <f t="shared" si="5"/>
        <v>5173334.12</v>
      </c>
      <c r="BA30" s="68"/>
      <c r="BB30" s="91"/>
      <c r="BC30" s="91">
        <v>15407.69</v>
      </c>
      <c r="BD30" s="62">
        <f t="shared" si="6"/>
        <v>5157926.43</v>
      </c>
      <c r="BE30" s="68"/>
      <c r="BF30" s="91"/>
      <c r="BG30" s="91"/>
      <c r="BH30" s="62">
        <f t="shared" si="7"/>
        <v>5157926.43</v>
      </c>
      <c r="BI30" s="68"/>
      <c r="BJ30" s="91"/>
      <c r="BK30" s="91"/>
      <c r="BL30" s="62">
        <f t="shared" si="8"/>
        <v>5157926.43</v>
      </c>
      <c r="BM30" s="68"/>
      <c r="BN30" s="91"/>
      <c r="BO30" s="91"/>
      <c r="BP30" s="62">
        <f t="shared" si="9"/>
        <v>5157926.43</v>
      </c>
      <c r="BQ30" s="68"/>
      <c r="BR30" s="68"/>
      <c r="BS30" s="68"/>
      <c r="BT30" s="68">
        <f>D30+BR30-BS30</f>
        <v>5012808.46</v>
      </c>
      <c r="BU30" s="68"/>
      <c r="BV30" s="31">
        <v>14</v>
      </c>
      <c r="BW30" s="32">
        <v>30000</v>
      </c>
      <c r="BX30" s="27"/>
      <c r="BY30" s="32"/>
      <c r="BZ30" s="32">
        <f>BT30+BW30-BY30</f>
        <v>5042808.46</v>
      </c>
      <c r="CA30" s="32"/>
      <c r="CB30" s="32"/>
      <c r="CC30" s="32"/>
      <c r="CD30" s="32"/>
      <c r="CE30" s="32"/>
      <c r="CF30" s="32">
        <f t="shared" si="23"/>
        <v>5042808.46</v>
      </c>
      <c r="CG30" s="32"/>
    </row>
    <row r="31" spans="1:85" x14ac:dyDescent="0.5">
      <c r="A31" s="61">
        <v>25</v>
      </c>
      <c r="B31" s="81" t="s">
        <v>136</v>
      </c>
      <c r="C31" s="67">
        <v>101</v>
      </c>
      <c r="D31" s="68">
        <f>+'กระดาษทำการ 30 เม.ย.58'!BP33</f>
        <v>205000</v>
      </c>
      <c r="E31" s="68">
        <f>+'กระดาษทำการ 30 เม.ย.58'!BQ33</f>
        <v>0</v>
      </c>
      <c r="F31" s="91"/>
      <c r="G31" s="91"/>
      <c r="H31" s="62">
        <f t="shared" si="0"/>
        <v>205000</v>
      </c>
      <c r="I31" s="68"/>
      <c r="J31" s="91"/>
      <c r="K31" s="91"/>
      <c r="L31" s="68">
        <f>+H31+J31-K31</f>
        <v>205000</v>
      </c>
      <c r="M31" s="68"/>
      <c r="N31" s="91"/>
      <c r="O31" s="91"/>
      <c r="P31" s="62">
        <f t="shared" si="11"/>
        <v>205000</v>
      </c>
      <c r="Q31" s="68"/>
      <c r="R31" s="91"/>
      <c r="S31" s="91"/>
      <c r="T31" s="68">
        <f>+P31+R31-S31</f>
        <v>205000</v>
      </c>
      <c r="U31" s="68"/>
      <c r="V31" s="91"/>
      <c r="W31" s="91"/>
      <c r="X31" s="68">
        <f t="shared" si="25"/>
        <v>205000</v>
      </c>
      <c r="Y31" s="68"/>
      <c r="Z31" s="91"/>
      <c r="AA31" s="91"/>
      <c r="AB31" s="62">
        <f t="shared" si="1"/>
        <v>205000</v>
      </c>
      <c r="AC31" s="68"/>
      <c r="AD31" s="91"/>
      <c r="AE31" s="91"/>
      <c r="AF31" s="62">
        <f t="shared" si="2"/>
        <v>205000</v>
      </c>
      <c r="AG31" s="68"/>
      <c r="AH31" s="91"/>
      <c r="AI31" s="91"/>
      <c r="AJ31" s="62">
        <f t="shared" si="12"/>
        <v>205000</v>
      </c>
      <c r="AK31" s="68">
        <f t="shared" si="14"/>
        <v>0</v>
      </c>
      <c r="AL31" s="91"/>
      <c r="AM31" s="91"/>
      <c r="AN31" s="68">
        <f>+AJ31+AL31-AM31</f>
        <v>205000</v>
      </c>
      <c r="AO31" s="68"/>
      <c r="AP31" s="91"/>
      <c r="AQ31" s="91"/>
      <c r="AR31" s="62">
        <f t="shared" si="3"/>
        <v>205000</v>
      </c>
      <c r="AS31" s="68">
        <f t="shared" si="18"/>
        <v>0</v>
      </c>
      <c r="AT31" s="91"/>
      <c r="AU31" s="91"/>
      <c r="AV31" s="62">
        <f t="shared" si="4"/>
        <v>205000</v>
      </c>
      <c r="AW31" s="68"/>
      <c r="AX31" s="91"/>
      <c r="AY31" s="91"/>
      <c r="AZ31" s="62">
        <f t="shared" si="5"/>
        <v>205000</v>
      </c>
      <c r="BA31" s="68"/>
      <c r="BB31" s="91"/>
      <c r="BC31" s="91"/>
      <c r="BD31" s="62">
        <f t="shared" si="6"/>
        <v>205000</v>
      </c>
      <c r="BE31" s="68"/>
      <c r="BF31" s="91"/>
      <c r="BG31" s="91"/>
      <c r="BH31" s="62">
        <f t="shared" si="7"/>
        <v>205000</v>
      </c>
      <c r="BI31" s="68"/>
      <c r="BJ31" s="91"/>
      <c r="BK31" s="91"/>
      <c r="BL31" s="62">
        <f t="shared" si="8"/>
        <v>205000</v>
      </c>
      <c r="BM31" s="68"/>
      <c r="BN31" s="91"/>
      <c r="BO31" s="91"/>
      <c r="BP31" s="62">
        <f t="shared" si="9"/>
        <v>205000</v>
      </c>
      <c r="BQ31" s="68"/>
      <c r="BR31" s="68"/>
      <c r="BS31" s="68"/>
      <c r="BT31" s="68">
        <f>D31+BR31-BS31</f>
        <v>205000</v>
      </c>
      <c r="BU31" s="68"/>
      <c r="BV31" s="31"/>
      <c r="BW31" s="32"/>
      <c r="BX31" s="27">
        <v>14</v>
      </c>
      <c r="BY31" s="32">
        <v>30000</v>
      </c>
      <c r="BZ31" s="32">
        <f>BT31+BW31-BY31</f>
        <v>175000</v>
      </c>
      <c r="CA31" s="32"/>
      <c r="CB31" s="32"/>
      <c r="CC31" s="32"/>
      <c r="CD31" s="32"/>
      <c r="CE31" s="32"/>
      <c r="CF31" s="32">
        <f t="shared" si="23"/>
        <v>175000</v>
      </c>
      <c r="CG31" s="32"/>
    </row>
    <row r="32" spans="1:85" x14ac:dyDescent="0.5">
      <c r="A32" s="61">
        <v>26</v>
      </c>
      <c r="B32" s="81" t="s">
        <v>54</v>
      </c>
      <c r="C32" s="67">
        <v>99</v>
      </c>
      <c r="D32" s="68">
        <f>+'กระดาษทำการ 30 เม.ย.58'!BP34</f>
        <v>0</v>
      </c>
      <c r="E32" s="68">
        <f>+'กระดาษทำการ 30 เม.ย.58'!BQ34</f>
        <v>755271.32000000007</v>
      </c>
      <c r="F32" s="91"/>
      <c r="G32" s="91"/>
      <c r="H32" s="62">
        <f t="shared" si="0"/>
        <v>0</v>
      </c>
      <c r="I32" s="68">
        <f>+E32</f>
        <v>755271.32000000007</v>
      </c>
      <c r="J32" s="91"/>
      <c r="K32" s="91"/>
      <c r="L32" s="68"/>
      <c r="M32" s="68">
        <f>+I32</f>
        <v>755271.32000000007</v>
      </c>
      <c r="N32" s="91"/>
      <c r="O32" s="91"/>
      <c r="P32" s="68"/>
      <c r="Q32" s="68">
        <f>+M32</f>
        <v>755271.32000000007</v>
      </c>
      <c r="R32" s="91"/>
      <c r="S32" s="91"/>
      <c r="T32" s="68"/>
      <c r="U32" s="68">
        <f>+Q32</f>
        <v>755271.32000000007</v>
      </c>
      <c r="V32" s="91"/>
      <c r="W32" s="91"/>
      <c r="X32" s="68">
        <f t="shared" si="25"/>
        <v>0</v>
      </c>
      <c r="Y32" s="68">
        <f>+U32+W32-V32</f>
        <v>755271.32000000007</v>
      </c>
      <c r="Z32" s="91"/>
      <c r="AA32" s="91"/>
      <c r="AB32" s="62">
        <f t="shared" si="1"/>
        <v>0</v>
      </c>
      <c r="AC32" s="68">
        <f>+Y32</f>
        <v>755271.32000000007</v>
      </c>
      <c r="AD32" s="91"/>
      <c r="AE32" s="91"/>
      <c r="AF32" s="62">
        <f t="shared" si="2"/>
        <v>0</v>
      </c>
      <c r="AG32" s="68">
        <f>+AC32</f>
        <v>755271.32000000007</v>
      </c>
      <c r="AH32" s="91"/>
      <c r="AI32" s="91"/>
      <c r="AJ32" s="62">
        <f t="shared" si="12"/>
        <v>0</v>
      </c>
      <c r="AK32" s="68">
        <f t="shared" si="14"/>
        <v>755271.32000000007</v>
      </c>
      <c r="AL32" s="91"/>
      <c r="AM32" s="91"/>
      <c r="AN32" s="68"/>
      <c r="AO32" s="68">
        <f>+AK32</f>
        <v>755271.32000000007</v>
      </c>
      <c r="AP32" s="91"/>
      <c r="AQ32" s="91"/>
      <c r="AR32" s="62">
        <f t="shared" si="3"/>
        <v>0</v>
      </c>
      <c r="AS32" s="68">
        <f t="shared" si="18"/>
        <v>755271.32000000007</v>
      </c>
      <c r="AT32" s="91"/>
      <c r="AU32" s="91"/>
      <c r="AV32" s="62">
        <f t="shared" si="4"/>
        <v>0</v>
      </c>
      <c r="AW32" s="68">
        <f>+AS32</f>
        <v>755271.32000000007</v>
      </c>
      <c r="AX32" s="91"/>
      <c r="AY32" s="91"/>
      <c r="AZ32" s="62">
        <f t="shared" si="5"/>
        <v>0</v>
      </c>
      <c r="BA32" s="68">
        <f>+AW32</f>
        <v>755271.32000000007</v>
      </c>
      <c r="BB32" s="91"/>
      <c r="BC32" s="91"/>
      <c r="BD32" s="62">
        <f t="shared" si="6"/>
        <v>0</v>
      </c>
      <c r="BE32" s="68">
        <f>+BA32</f>
        <v>755271.32000000007</v>
      </c>
      <c r="BF32" s="91"/>
      <c r="BG32" s="91"/>
      <c r="BH32" s="62">
        <f t="shared" si="7"/>
        <v>0</v>
      </c>
      <c r="BI32" s="68">
        <f>+BE32</f>
        <v>755271.32000000007</v>
      </c>
      <c r="BJ32" s="91"/>
      <c r="BK32" s="91"/>
      <c r="BL32" s="62">
        <f t="shared" si="8"/>
        <v>0</v>
      </c>
      <c r="BM32" s="68">
        <f>+BI32</f>
        <v>755271.32000000007</v>
      </c>
      <c r="BN32" s="91"/>
      <c r="BO32" s="91"/>
      <c r="BP32" s="62">
        <f t="shared" si="9"/>
        <v>0</v>
      </c>
      <c r="BQ32" s="68">
        <f>+BM32</f>
        <v>755271.32000000007</v>
      </c>
      <c r="BR32" s="68"/>
      <c r="BS32" s="68"/>
      <c r="BT32" s="68"/>
      <c r="BU32" s="68">
        <f>E32+BS32-BR32</f>
        <v>755271.32000000007</v>
      </c>
      <c r="BV32" s="31">
        <v>9</v>
      </c>
      <c r="BW32" s="32">
        <v>91565.73</v>
      </c>
      <c r="BX32" s="27"/>
      <c r="BY32" s="32"/>
      <c r="BZ32" s="32"/>
      <c r="CA32" s="32">
        <f>BU32+BY32-BW32</f>
        <v>663705.59000000008</v>
      </c>
      <c r="CB32" s="32"/>
      <c r="CC32" s="32"/>
      <c r="CD32" s="32"/>
      <c r="CE32" s="32"/>
      <c r="CF32" s="32"/>
      <c r="CG32" s="32">
        <f>CA32</f>
        <v>663705.59000000008</v>
      </c>
    </row>
    <row r="33" spans="1:85" ht="24" x14ac:dyDescent="0.55000000000000004">
      <c r="A33" s="61">
        <v>27</v>
      </c>
      <c r="B33" s="81" t="s">
        <v>2</v>
      </c>
      <c r="C33" s="67">
        <v>105</v>
      </c>
      <c r="D33" s="68">
        <f>+'กระดาษทำการ 30 เม.ย.58'!BP35</f>
        <v>809609.7</v>
      </c>
      <c r="E33" s="68">
        <f>+'กระดาษทำการ 30 เม.ย.58'!BQ35</f>
        <v>0</v>
      </c>
      <c r="F33" s="91"/>
      <c r="G33" s="91"/>
      <c r="H33" s="62">
        <f t="shared" si="0"/>
        <v>809609.7</v>
      </c>
      <c r="I33" s="68"/>
      <c r="J33" s="119"/>
      <c r="K33" s="119">
        <v>1557</v>
      </c>
      <c r="L33" s="68">
        <f>+H33+J33-K33</f>
        <v>808052.7</v>
      </c>
      <c r="M33" s="68"/>
      <c r="N33" s="91"/>
      <c r="O33" s="91"/>
      <c r="P33" s="68">
        <f>+L33</f>
        <v>808052.7</v>
      </c>
      <c r="Q33" s="68"/>
      <c r="R33" s="91"/>
      <c r="S33" s="91"/>
      <c r="T33" s="68">
        <f>+P33</f>
        <v>808052.7</v>
      </c>
      <c r="U33" s="68"/>
      <c r="V33" s="91"/>
      <c r="W33" s="91"/>
      <c r="X33" s="68">
        <f t="shared" si="25"/>
        <v>808052.7</v>
      </c>
      <c r="Y33" s="68">
        <f t="shared" ref="Y33:Y62" si="26">+U33+W33-V33</f>
        <v>0</v>
      </c>
      <c r="Z33" s="92"/>
      <c r="AA33" s="92">
        <v>34.56</v>
      </c>
      <c r="AB33" s="62">
        <f t="shared" si="1"/>
        <v>808018.1399999999</v>
      </c>
      <c r="AC33" s="68"/>
      <c r="AD33" s="91"/>
      <c r="AE33" s="91">
        <f>3.84+3.84+324.43</f>
        <v>332.11</v>
      </c>
      <c r="AF33" s="62">
        <f t="shared" si="2"/>
        <v>807686.02999999991</v>
      </c>
      <c r="AG33" s="68"/>
      <c r="AH33" s="91"/>
      <c r="AI33" s="91"/>
      <c r="AJ33" s="62">
        <f t="shared" si="12"/>
        <v>807686.02999999991</v>
      </c>
      <c r="AK33" s="68">
        <f t="shared" si="14"/>
        <v>0</v>
      </c>
      <c r="AL33" s="91"/>
      <c r="AM33" s="91">
        <f>475.23+1225.67+411.37+32.22</f>
        <v>2144.4899999999998</v>
      </c>
      <c r="AN33" s="68">
        <f>+AJ33+AL33-AM33</f>
        <v>805541.53999999992</v>
      </c>
      <c r="AO33" s="68"/>
      <c r="AP33" s="91"/>
      <c r="AQ33" s="91">
        <v>3760.94</v>
      </c>
      <c r="AR33" s="62">
        <f t="shared" si="3"/>
        <v>801780.6</v>
      </c>
      <c r="AS33" s="68">
        <v>0</v>
      </c>
      <c r="AT33" s="92"/>
      <c r="AU33" s="92">
        <f>3614.1+5683.06</f>
        <v>9297.16</v>
      </c>
      <c r="AV33" s="62">
        <f t="shared" si="4"/>
        <v>792483.44</v>
      </c>
      <c r="AW33" s="68"/>
      <c r="AX33" s="91"/>
      <c r="AY33" s="91">
        <f>1551.07+29682.4+37.4+9410.6+797.8</f>
        <v>41479.270000000004</v>
      </c>
      <c r="AZ33" s="62">
        <f t="shared" si="5"/>
        <v>751004.16999999993</v>
      </c>
      <c r="BA33" s="68"/>
      <c r="BB33" s="91"/>
      <c r="BC33" s="91">
        <v>1505.95</v>
      </c>
      <c r="BD33" s="62">
        <f t="shared" si="6"/>
        <v>749498.22</v>
      </c>
      <c r="BE33" s="68"/>
      <c r="BF33" s="91"/>
      <c r="BG33" s="91"/>
      <c r="BH33" s="62">
        <f t="shared" si="7"/>
        <v>749498.22</v>
      </c>
      <c r="BI33" s="68"/>
      <c r="BJ33" s="91"/>
      <c r="BK33" s="91"/>
      <c r="BL33" s="62">
        <f t="shared" si="8"/>
        <v>749498.22</v>
      </c>
      <c r="BM33" s="68"/>
      <c r="BN33" s="91"/>
      <c r="BO33" s="91">
        <v>3891.16</v>
      </c>
      <c r="BP33" s="62">
        <f t="shared" si="9"/>
        <v>745607.05999999994</v>
      </c>
      <c r="BQ33" s="68"/>
      <c r="BR33" s="68"/>
      <c r="BS33" s="68"/>
      <c r="BT33" s="68">
        <f>D33+BR33-BS33</f>
        <v>809609.7</v>
      </c>
      <c r="BU33" s="68"/>
      <c r="BV33" s="45" t="s">
        <v>107</v>
      </c>
      <c r="BW33" s="32">
        <f>29+171840.7</f>
        <v>171869.7</v>
      </c>
      <c r="BX33" s="27">
        <v>21</v>
      </c>
      <c r="BY33" s="32">
        <f>135892+8200</f>
        <v>144092</v>
      </c>
      <c r="BZ33" s="32">
        <f>BT33+BW33-BY33</f>
        <v>837387.39999999991</v>
      </c>
      <c r="CA33" s="32"/>
      <c r="CB33" s="32"/>
      <c r="CC33" s="32"/>
      <c r="CD33" s="32"/>
      <c r="CE33" s="32"/>
      <c r="CF33" s="32">
        <f>BZ33</f>
        <v>837387.39999999991</v>
      </c>
      <c r="CG33" s="32"/>
    </row>
    <row r="34" spans="1:85" x14ac:dyDescent="0.5">
      <c r="A34" s="61">
        <v>28</v>
      </c>
      <c r="B34" s="81" t="s">
        <v>55</v>
      </c>
      <c r="C34" s="67">
        <v>113</v>
      </c>
      <c r="D34" s="68">
        <f>+'กระดาษทำการ 30 เม.ย.58'!BP36</f>
        <v>0</v>
      </c>
      <c r="E34" s="68">
        <f>+'กระดาษทำการ 30 เม.ย.58'!BQ36</f>
        <v>577440</v>
      </c>
      <c r="F34" s="91"/>
      <c r="G34" s="91"/>
      <c r="H34" s="62">
        <f t="shared" si="0"/>
        <v>0</v>
      </c>
      <c r="I34" s="68">
        <f>+E34</f>
        <v>577440</v>
      </c>
      <c r="J34" s="91"/>
      <c r="K34" s="91"/>
      <c r="L34" s="68"/>
      <c r="M34" s="68">
        <f>+I34</f>
        <v>577440</v>
      </c>
      <c r="N34" s="91"/>
      <c r="O34" s="91"/>
      <c r="P34" s="68"/>
      <c r="Q34" s="68">
        <f>+M34</f>
        <v>577440</v>
      </c>
      <c r="R34" s="91"/>
      <c r="S34" s="91"/>
      <c r="T34" s="68"/>
      <c r="U34" s="68">
        <f>+Q34</f>
        <v>577440</v>
      </c>
      <c r="V34" s="91"/>
      <c r="W34" s="91"/>
      <c r="X34" s="68">
        <f t="shared" si="25"/>
        <v>0</v>
      </c>
      <c r="Y34" s="68">
        <f t="shared" si="26"/>
        <v>577440</v>
      </c>
      <c r="Z34" s="91"/>
      <c r="AA34" s="91"/>
      <c r="AB34" s="62">
        <f t="shared" si="1"/>
        <v>0</v>
      </c>
      <c r="AC34" s="68">
        <f>+Y34</f>
        <v>577440</v>
      </c>
      <c r="AD34" s="91"/>
      <c r="AE34" s="91"/>
      <c r="AF34" s="62">
        <f t="shared" si="2"/>
        <v>0</v>
      </c>
      <c r="AG34" s="68">
        <f>+AC34</f>
        <v>577440</v>
      </c>
      <c r="AH34" s="91"/>
      <c r="AI34" s="91"/>
      <c r="AJ34" s="62">
        <f t="shared" si="12"/>
        <v>0</v>
      </c>
      <c r="AK34" s="68">
        <f t="shared" si="14"/>
        <v>577440</v>
      </c>
      <c r="AL34" s="91"/>
      <c r="AM34" s="91"/>
      <c r="AN34" s="68"/>
      <c r="AO34" s="68">
        <f>+AK34</f>
        <v>577440</v>
      </c>
      <c r="AP34" s="91"/>
      <c r="AQ34" s="91"/>
      <c r="AR34" s="62">
        <f t="shared" si="3"/>
        <v>0</v>
      </c>
      <c r="AS34" s="68">
        <f t="shared" ref="AS34:AS66" si="27">+AO34+AQ34-AP34</f>
        <v>577440</v>
      </c>
      <c r="AT34" s="91"/>
      <c r="AU34" s="91"/>
      <c r="AV34" s="62">
        <f t="shared" si="4"/>
        <v>0</v>
      </c>
      <c r="AW34" s="68">
        <f>+AS34</f>
        <v>577440</v>
      </c>
      <c r="AX34" s="91"/>
      <c r="AY34" s="91"/>
      <c r="AZ34" s="62">
        <f t="shared" si="5"/>
        <v>0</v>
      </c>
      <c r="BA34" s="68">
        <f>+AW34</f>
        <v>577440</v>
      </c>
      <c r="BB34" s="91"/>
      <c r="BC34" s="91"/>
      <c r="BD34" s="62">
        <f t="shared" si="6"/>
        <v>0</v>
      </c>
      <c r="BE34" s="68">
        <f>+BA34</f>
        <v>577440</v>
      </c>
      <c r="BF34" s="91"/>
      <c r="BG34" s="91"/>
      <c r="BH34" s="62">
        <f t="shared" si="7"/>
        <v>0</v>
      </c>
      <c r="BI34" s="68">
        <f>+BE34</f>
        <v>577440</v>
      </c>
      <c r="BJ34" s="91"/>
      <c r="BK34" s="91"/>
      <c r="BL34" s="62">
        <f t="shared" si="8"/>
        <v>0</v>
      </c>
      <c r="BM34" s="68">
        <f>+BI34</f>
        <v>577440</v>
      </c>
      <c r="BN34" s="91"/>
      <c r="BO34" s="91"/>
      <c r="BP34" s="62">
        <f t="shared" si="9"/>
        <v>0</v>
      </c>
      <c r="BQ34" s="68">
        <f>+BM34</f>
        <v>577440</v>
      </c>
      <c r="BR34" s="68"/>
      <c r="BS34" s="68"/>
      <c r="BT34" s="68"/>
      <c r="BU34" s="68">
        <f>E34+BS34-BR34</f>
        <v>577440</v>
      </c>
      <c r="BV34" s="31">
        <v>10</v>
      </c>
      <c r="BW34" s="32">
        <v>82916.100000000006</v>
      </c>
      <c r="BX34" s="27"/>
      <c r="BY34" s="32"/>
      <c r="BZ34" s="32"/>
      <c r="CA34" s="32">
        <f>BU34+BY34-BW34</f>
        <v>494523.9</v>
      </c>
      <c r="CB34" s="32"/>
      <c r="CC34" s="32"/>
      <c r="CD34" s="32"/>
      <c r="CE34" s="32"/>
      <c r="CF34" s="32"/>
      <c r="CG34" s="32">
        <f>CA34</f>
        <v>494523.9</v>
      </c>
    </row>
    <row r="35" spans="1:85" x14ac:dyDescent="0.5">
      <c r="A35" s="61">
        <v>29</v>
      </c>
      <c r="B35" s="81" t="s">
        <v>56</v>
      </c>
      <c r="C35" s="67">
        <v>119</v>
      </c>
      <c r="D35" s="68">
        <f>+'กระดาษทำการ 30 เม.ย.58'!BP37</f>
        <v>298253.89</v>
      </c>
      <c r="E35" s="68">
        <f>+'กระดาษทำการ 30 เม.ย.58'!BQ37</f>
        <v>0</v>
      </c>
      <c r="F35" s="91"/>
      <c r="G35" s="91"/>
      <c r="H35" s="62">
        <f t="shared" si="0"/>
        <v>298253.89</v>
      </c>
      <c r="I35" s="68"/>
      <c r="J35" s="119"/>
      <c r="K35" s="119">
        <v>600</v>
      </c>
      <c r="L35" s="68">
        <f>+H35+J35-K35</f>
        <v>297653.89</v>
      </c>
      <c r="M35" s="68"/>
      <c r="N35" s="91"/>
      <c r="O35" s="91"/>
      <c r="P35" s="68">
        <f>+L35</f>
        <v>297653.89</v>
      </c>
      <c r="Q35" s="68">
        <f>+M35</f>
        <v>0</v>
      </c>
      <c r="R35" s="91"/>
      <c r="S35" s="91"/>
      <c r="T35" s="68">
        <f>+P35+R35-S35</f>
        <v>297653.89</v>
      </c>
      <c r="U35" s="68"/>
      <c r="V35" s="91"/>
      <c r="W35" s="91"/>
      <c r="X35" s="68">
        <f t="shared" si="25"/>
        <v>297653.89</v>
      </c>
      <c r="Y35" s="68">
        <f t="shared" si="26"/>
        <v>0</v>
      </c>
      <c r="Z35" s="91"/>
      <c r="AA35" s="91"/>
      <c r="AB35" s="62">
        <f t="shared" si="1"/>
        <v>297653.89</v>
      </c>
      <c r="AC35" s="68"/>
      <c r="AD35" s="91"/>
      <c r="AE35" s="91"/>
      <c r="AF35" s="62">
        <f t="shared" si="2"/>
        <v>297653.89</v>
      </c>
      <c r="AG35" s="68"/>
      <c r="AH35" s="91"/>
      <c r="AI35" s="91"/>
      <c r="AJ35" s="62">
        <f t="shared" si="12"/>
        <v>297653.89</v>
      </c>
      <c r="AK35" s="68">
        <f t="shared" si="14"/>
        <v>0</v>
      </c>
      <c r="AL35" s="91"/>
      <c r="AM35" s="91"/>
      <c r="AN35" s="68">
        <f>+AJ35</f>
        <v>297653.89</v>
      </c>
      <c r="AO35" s="68"/>
      <c r="AP35" s="91"/>
      <c r="AQ35" s="91"/>
      <c r="AR35" s="62">
        <f t="shared" si="3"/>
        <v>297653.89</v>
      </c>
      <c r="AS35" s="68">
        <f t="shared" si="27"/>
        <v>0</v>
      </c>
      <c r="AT35" s="91"/>
      <c r="AU35" s="91"/>
      <c r="AV35" s="62">
        <f t="shared" si="4"/>
        <v>297653.89</v>
      </c>
      <c r="AW35" s="68"/>
      <c r="AX35" s="91"/>
      <c r="AY35" s="91">
        <f>9339.94+2287</f>
        <v>11626.94</v>
      </c>
      <c r="AZ35" s="62">
        <f t="shared" si="5"/>
        <v>286026.95</v>
      </c>
      <c r="BA35" s="68"/>
      <c r="BB35" s="91"/>
      <c r="BC35" s="91"/>
      <c r="BD35" s="62">
        <f t="shared" si="6"/>
        <v>286026.95</v>
      </c>
      <c r="BE35" s="68"/>
      <c r="BF35" s="91"/>
      <c r="BG35" s="91"/>
      <c r="BH35" s="62">
        <f t="shared" si="7"/>
        <v>286026.95</v>
      </c>
      <c r="BI35" s="68"/>
      <c r="BJ35" s="91"/>
      <c r="BK35" s="91"/>
      <c r="BL35" s="62">
        <f t="shared" si="8"/>
        <v>286026.95</v>
      </c>
      <c r="BM35" s="68"/>
      <c r="BN35" s="91"/>
      <c r="BO35" s="91"/>
      <c r="BP35" s="62">
        <f t="shared" si="9"/>
        <v>286026.95</v>
      </c>
      <c r="BQ35" s="68"/>
      <c r="BR35" s="68"/>
      <c r="BS35" s="68"/>
      <c r="BT35" s="68">
        <f>D35+BR35-BS35</f>
        <v>298253.89</v>
      </c>
      <c r="BU35" s="68"/>
      <c r="BV35" s="31">
        <v>19</v>
      </c>
      <c r="BW35" s="32">
        <v>50290.89</v>
      </c>
      <c r="BX35" s="27">
        <v>20</v>
      </c>
      <c r="BY35" s="32">
        <v>66277</v>
      </c>
      <c r="BZ35" s="32">
        <f>BT35+BW35-BY35</f>
        <v>282267.78000000003</v>
      </c>
      <c r="CA35" s="32"/>
      <c r="CB35" s="32"/>
      <c r="CC35" s="32"/>
      <c r="CD35" s="32"/>
      <c r="CE35" s="32"/>
      <c r="CF35" s="32">
        <f>BZ35</f>
        <v>282267.78000000003</v>
      </c>
      <c r="CG35" s="32"/>
    </row>
    <row r="36" spans="1:85" x14ac:dyDescent="0.5">
      <c r="A36" s="61">
        <v>30</v>
      </c>
      <c r="B36" s="81" t="s">
        <v>57</v>
      </c>
      <c r="C36" s="67">
        <v>127</v>
      </c>
      <c r="D36" s="68">
        <f>+'กระดาษทำการ 30 เม.ย.58'!BP38</f>
        <v>0</v>
      </c>
      <c r="E36" s="68">
        <f>+'กระดาษทำการ 30 เม.ย.58'!BQ38</f>
        <v>298253.89</v>
      </c>
      <c r="F36" s="91"/>
      <c r="G36" s="91"/>
      <c r="H36" s="62"/>
      <c r="I36" s="68">
        <f>+E36</f>
        <v>298253.89</v>
      </c>
      <c r="J36" s="91"/>
      <c r="K36" s="91"/>
      <c r="L36" s="68"/>
      <c r="M36" s="68">
        <f>+I36</f>
        <v>298253.89</v>
      </c>
      <c r="N36" s="91"/>
      <c r="O36" s="91"/>
      <c r="P36" s="68"/>
      <c r="Q36" s="68">
        <f>+M36+O36-N36</f>
        <v>298253.89</v>
      </c>
      <c r="R36" s="91"/>
      <c r="S36" s="91"/>
      <c r="T36" s="68"/>
      <c r="U36" s="68">
        <f>+Q36+S36-R36</f>
        <v>298253.89</v>
      </c>
      <c r="V36" s="91"/>
      <c r="W36" s="91"/>
      <c r="X36" s="68"/>
      <c r="Y36" s="68">
        <f t="shared" si="26"/>
        <v>298253.89</v>
      </c>
      <c r="Z36" s="91"/>
      <c r="AA36" s="91"/>
      <c r="AB36" s="68"/>
      <c r="AC36" s="68">
        <f>+Y36+AA36-Z36</f>
        <v>298253.89</v>
      </c>
      <c r="AD36" s="91"/>
      <c r="AE36" s="91"/>
      <c r="AF36" s="68"/>
      <c r="AG36" s="68">
        <f>+AC36+AE36-AD36</f>
        <v>298253.89</v>
      </c>
      <c r="AH36" s="91"/>
      <c r="AI36" s="91"/>
      <c r="AJ36" s="68"/>
      <c r="AK36" s="68">
        <f t="shared" si="14"/>
        <v>298253.89</v>
      </c>
      <c r="AL36" s="91"/>
      <c r="AM36" s="91"/>
      <c r="AN36" s="68"/>
      <c r="AO36" s="68">
        <f>+AK36</f>
        <v>298253.89</v>
      </c>
      <c r="AP36" s="91"/>
      <c r="AQ36" s="91"/>
      <c r="AR36" s="62">
        <f t="shared" si="3"/>
        <v>0</v>
      </c>
      <c r="AS36" s="68">
        <f t="shared" si="27"/>
        <v>298253.89</v>
      </c>
      <c r="AT36" s="91"/>
      <c r="AU36" s="91"/>
      <c r="AV36" s="62">
        <f t="shared" si="4"/>
        <v>0</v>
      </c>
      <c r="AW36" s="68">
        <f>+AS36</f>
        <v>298253.89</v>
      </c>
      <c r="AX36" s="91"/>
      <c r="AY36" s="91"/>
      <c r="AZ36" s="68"/>
      <c r="BA36" s="68">
        <f>+AW36+AY36-AX36</f>
        <v>298253.89</v>
      </c>
      <c r="BB36" s="91"/>
      <c r="BC36" s="91"/>
      <c r="BD36" s="68"/>
      <c r="BE36" s="68">
        <f t="shared" ref="BE36:BE64" si="28">+BA36+BC36-BB36</f>
        <v>298253.89</v>
      </c>
      <c r="BF36" s="91"/>
      <c r="BG36" s="91"/>
      <c r="BH36" s="68"/>
      <c r="BI36" s="68">
        <f t="shared" ref="BI36:BI64" si="29">+BE36+BG36-BF36</f>
        <v>298253.89</v>
      </c>
      <c r="BJ36" s="91"/>
      <c r="BK36" s="91"/>
      <c r="BL36" s="68"/>
      <c r="BM36" s="68">
        <f t="shared" ref="BM36:BM64" si="30">+BI36+BK36-BJ36</f>
        <v>298253.89</v>
      </c>
      <c r="BN36" s="91"/>
      <c r="BO36" s="91"/>
      <c r="BP36" s="68"/>
      <c r="BQ36" s="68">
        <f t="shared" ref="BQ36:BQ64" si="31">+BM36+BO36-BN36</f>
        <v>298253.89</v>
      </c>
      <c r="BR36" s="68"/>
      <c r="BS36" s="68"/>
      <c r="BT36" s="68"/>
      <c r="BU36" s="68">
        <f t="shared" ref="BU36:BU46" si="32">E36+BS36-BR36</f>
        <v>298253.89</v>
      </c>
      <c r="BV36" s="31">
        <v>11</v>
      </c>
      <c r="BW36" s="32">
        <v>20533.11</v>
      </c>
      <c r="BX36" s="27"/>
      <c r="BY36" s="32"/>
      <c r="BZ36" s="32"/>
      <c r="CA36" s="32">
        <f>BU36+BY36-BW36</f>
        <v>277720.78000000003</v>
      </c>
      <c r="CB36" s="32"/>
      <c r="CC36" s="32"/>
      <c r="CD36" s="32"/>
      <c r="CE36" s="32"/>
      <c r="CF36" s="32"/>
      <c r="CG36" s="32">
        <f>CA36</f>
        <v>277720.78000000003</v>
      </c>
    </row>
    <row r="37" spans="1:85" ht="24" x14ac:dyDescent="0.55000000000000004">
      <c r="A37" s="61">
        <v>31</v>
      </c>
      <c r="B37" s="81" t="s">
        <v>58</v>
      </c>
      <c r="C37" s="67">
        <v>149</v>
      </c>
      <c r="D37" s="68">
        <f>+'กระดาษทำการ 30 เม.ย.58'!BP39</f>
        <v>0</v>
      </c>
      <c r="E37" s="68">
        <f>+'กระดาษทำการ 30 เม.ย.58'!BQ39</f>
        <v>308681.46000000002</v>
      </c>
      <c r="F37" s="119"/>
      <c r="G37" s="119">
        <v>100</v>
      </c>
      <c r="H37" s="62"/>
      <c r="I37" s="68">
        <f>+E37-F37+G37</f>
        <v>308781.46000000002</v>
      </c>
      <c r="J37" s="119">
        <f>1727.96+418.69</f>
        <v>2146.65</v>
      </c>
      <c r="K37" s="119"/>
      <c r="L37" s="68"/>
      <c r="M37" s="68">
        <f>+I37-J37+K37</f>
        <v>306634.81</v>
      </c>
      <c r="N37" s="119">
        <v>418.69</v>
      </c>
      <c r="O37" s="119">
        <v>3220</v>
      </c>
      <c r="P37" s="68"/>
      <c r="Q37" s="68">
        <f t="shared" ref="Q37:Q64" si="33">+M37+O37-N37</f>
        <v>309436.12</v>
      </c>
      <c r="R37" s="92">
        <v>105</v>
      </c>
      <c r="S37" s="92"/>
      <c r="T37" s="68"/>
      <c r="U37" s="68">
        <f t="shared" ref="U37:U63" si="34">+Q37+S37-R37</f>
        <v>309331.12</v>
      </c>
      <c r="V37" s="91"/>
      <c r="W37" s="91"/>
      <c r="X37" s="68"/>
      <c r="Y37" s="68">
        <f t="shared" si="26"/>
        <v>309331.12</v>
      </c>
      <c r="Z37" s="92">
        <f>418.69+453.95</f>
        <v>872.64</v>
      </c>
      <c r="AA37" s="92">
        <v>800</v>
      </c>
      <c r="AB37" s="68"/>
      <c r="AC37" s="68">
        <f t="shared" ref="AC37:AC64" si="35">+Y37+AA37-Z37</f>
        <v>309258.48</v>
      </c>
      <c r="AD37" s="91"/>
      <c r="AE37" s="91">
        <f>100+200</f>
        <v>300</v>
      </c>
      <c r="AF37" s="68"/>
      <c r="AG37" s="68">
        <f t="shared" ref="AG37:AG64" si="36">+AC37+AE37-AD37</f>
        <v>309558.48</v>
      </c>
      <c r="AH37" s="91"/>
      <c r="AI37" s="91"/>
      <c r="AJ37" s="68"/>
      <c r="AK37" s="68">
        <f t="shared" si="14"/>
        <v>309558.48</v>
      </c>
      <c r="AL37" s="91"/>
      <c r="AM37" s="91">
        <f>2650+3320</f>
        <v>5970</v>
      </c>
      <c r="AN37" s="68"/>
      <c r="AO37" s="68">
        <f>+AK37+AM37-AL37</f>
        <v>315528.48</v>
      </c>
      <c r="AP37" s="91"/>
      <c r="AQ37" s="91">
        <v>5300</v>
      </c>
      <c r="AR37" s="62">
        <v>0</v>
      </c>
      <c r="AS37" s="68">
        <f t="shared" si="27"/>
        <v>320828.48</v>
      </c>
      <c r="AT37" s="92">
        <f>1382.73+500</f>
        <v>1882.73</v>
      </c>
      <c r="AU37" s="92">
        <f>3160+4270</f>
        <v>7430</v>
      </c>
      <c r="AV37" s="62"/>
      <c r="AW37" s="68">
        <f>+AS37+AU37-AT37</f>
        <v>326375.75</v>
      </c>
      <c r="AX37" s="91">
        <f>4789.63+600+2020.09+710.36</f>
        <v>8120.08</v>
      </c>
      <c r="AY37" s="91">
        <f>6587+800+1690</f>
        <v>9077</v>
      </c>
      <c r="AZ37" s="68"/>
      <c r="BA37" s="68">
        <f>+AW37+AY37-AX37</f>
        <v>327332.67</v>
      </c>
      <c r="BB37" s="91">
        <v>7417.1</v>
      </c>
      <c r="BC37" s="91"/>
      <c r="BD37" s="68"/>
      <c r="BE37" s="68">
        <f t="shared" si="28"/>
        <v>319915.57</v>
      </c>
      <c r="BF37" s="91"/>
      <c r="BG37" s="91"/>
      <c r="BH37" s="68"/>
      <c r="BI37" s="68">
        <f t="shared" si="29"/>
        <v>319915.57</v>
      </c>
      <c r="BJ37" s="91"/>
      <c r="BK37" s="91"/>
      <c r="BL37" s="68"/>
      <c r="BM37" s="68">
        <f t="shared" si="30"/>
        <v>319915.57</v>
      </c>
      <c r="BN37" s="91"/>
      <c r="BO37" s="91">
        <v>2990</v>
      </c>
      <c r="BP37" s="68"/>
      <c r="BQ37" s="68">
        <f t="shared" si="31"/>
        <v>322905.57</v>
      </c>
      <c r="BR37" s="68"/>
      <c r="BS37" s="68"/>
      <c r="BT37" s="68"/>
      <c r="BU37" s="68">
        <f t="shared" si="32"/>
        <v>308681.46000000002</v>
      </c>
      <c r="BV37" s="31" t="s">
        <v>105</v>
      </c>
      <c r="BW37" s="32">
        <f>796+210.98</f>
        <v>1006.98</v>
      </c>
      <c r="BX37" s="27"/>
      <c r="BY37" s="32"/>
      <c r="BZ37" s="32"/>
      <c r="CA37" s="32">
        <f>BU37+BY37-BW37</f>
        <v>307674.48000000004</v>
      </c>
      <c r="CB37" s="32"/>
      <c r="CC37" s="32"/>
      <c r="CD37" s="32"/>
      <c r="CE37" s="32"/>
      <c r="CF37" s="32"/>
      <c r="CG37" s="32">
        <f>CA37</f>
        <v>307674.48000000004</v>
      </c>
    </row>
    <row r="38" spans="1:85" x14ac:dyDescent="0.5">
      <c r="A38" s="61">
        <v>32</v>
      </c>
      <c r="B38" s="81" t="s">
        <v>59</v>
      </c>
      <c r="C38" s="67">
        <v>155</v>
      </c>
      <c r="D38" s="68">
        <f>+'กระดาษทำการ 30 เม.ย.58'!BP40</f>
        <v>0</v>
      </c>
      <c r="E38" s="68">
        <f>+'กระดาษทำการ 30 เม.ย.58'!BQ40</f>
        <v>16474.86</v>
      </c>
      <c r="F38" s="91"/>
      <c r="G38" s="91"/>
      <c r="H38" s="62"/>
      <c r="I38" s="68">
        <f t="shared" ref="I38:I53" si="37">+E38</f>
        <v>16474.86</v>
      </c>
      <c r="J38" s="91"/>
      <c r="K38" s="91"/>
      <c r="L38" s="68"/>
      <c r="M38" s="68">
        <f t="shared" ref="M38:M64" si="38">+I38-J38+K38</f>
        <v>16474.86</v>
      </c>
      <c r="N38" s="91"/>
      <c r="O38" s="91"/>
      <c r="P38" s="68"/>
      <c r="Q38" s="68">
        <f t="shared" si="33"/>
        <v>16474.86</v>
      </c>
      <c r="R38" s="91"/>
      <c r="S38" s="91"/>
      <c r="T38" s="68"/>
      <c r="U38" s="68">
        <f t="shared" si="34"/>
        <v>16474.86</v>
      </c>
      <c r="V38" s="91"/>
      <c r="W38" s="91"/>
      <c r="X38" s="68"/>
      <c r="Y38" s="68">
        <f t="shared" si="26"/>
        <v>16474.86</v>
      </c>
      <c r="Z38" s="91"/>
      <c r="AA38" s="91"/>
      <c r="AB38" s="68"/>
      <c r="AC38" s="68">
        <f t="shared" si="35"/>
        <v>16474.86</v>
      </c>
      <c r="AD38" s="91"/>
      <c r="AE38" s="91"/>
      <c r="AF38" s="68"/>
      <c r="AG38" s="68">
        <f t="shared" si="36"/>
        <v>16474.86</v>
      </c>
      <c r="AH38" s="91"/>
      <c r="AI38" s="91"/>
      <c r="AJ38" s="68"/>
      <c r="AK38" s="68">
        <f t="shared" si="14"/>
        <v>16474.86</v>
      </c>
      <c r="AL38" s="91"/>
      <c r="AM38" s="91"/>
      <c r="AN38" s="68"/>
      <c r="AO38" s="68">
        <f t="shared" ref="AO38:AO48" si="39">+AK38</f>
        <v>16474.86</v>
      </c>
      <c r="AP38" s="91"/>
      <c r="AQ38" s="91"/>
      <c r="AR38" s="62">
        <f t="shared" ref="AR38:AR99" si="40">+AN38+AP38-AQ38</f>
        <v>0</v>
      </c>
      <c r="AS38" s="68">
        <f t="shared" si="27"/>
        <v>16474.86</v>
      </c>
      <c r="AT38" s="91"/>
      <c r="AU38" s="91"/>
      <c r="AV38" s="68"/>
      <c r="AW38" s="68">
        <f t="shared" ref="AW38:AW64" si="41">+AS38+AU38-AT38</f>
        <v>16474.86</v>
      </c>
      <c r="AX38" s="91"/>
      <c r="AY38" s="91"/>
      <c r="AZ38" s="68"/>
      <c r="BA38" s="68">
        <f t="shared" ref="BA38:BA48" si="42">+AW38+AY38-AX38</f>
        <v>16474.86</v>
      </c>
      <c r="BB38" s="91"/>
      <c r="BC38" s="91"/>
      <c r="BD38" s="68"/>
      <c r="BE38" s="68">
        <f t="shared" si="28"/>
        <v>16474.86</v>
      </c>
      <c r="BF38" s="91"/>
      <c r="BG38" s="91"/>
      <c r="BH38" s="68"/>
      <c r="BI38" s="68">
        <f t="shared" si="29"/>
        <v>16474.86</v>
      </c>
      <c r="BJ38" s="91"/>
      <c r="BK38" s="91"/>
      <c r="BL38" s="68"/>
      <c r="BM38" s="68">
        <f t="shared" si="30"/>
        <v>16474.86</v>
      </c>
      <c r="BN38" s="91"/>
      <c r="BO38" s="91"/>
      <c r="BP38" s="68"/>
      <c r="BQ38" s="68">
        <f t="shared" si="31"/>
        <v>16474.86</v>
      </c>
      <c r="BR38" s="68"/>
      <c r="BS38" s="68"/>
      <c r="BT38" s="68"/>
      <c r="BU38" s="68">
        <f t="shared" si="32"/>
        <v>16474.86</v>
      </c>
      <c r="BV38" s="31"/>
      <c r="BW38" s="32"/>
      <c r="BX38" s="27"/>
      <c r="BY38" s="32"/>
      <c r="BZ38" s="32"/>
      <c r="CA38" s="32">
        <f t="shared" ref="CA38:CA48" si="43">BU38+BY38-BW38</f>
        <v>16474.86</v>
      </c>
      <c r="CB38" s="32"/>
      <c r="CC38" s="32"/>
      <c r="CD38" s="32"/>
      <c r="CE38" s="32"/>
      <c r="CF38" s="32"/>
      <c r="CG38" s="32">
        <f>CA38</f>
        <v>16474.86</v>
      </c>
    </row>
    <row r="39" spans="1:85" x14ac:dyDescent="0.5">
      <c r="A39" s="61">
        <v>33</v>
      </c>
      <c r="B39" s="81" t="s">
        <v>6</v>
      </c>
      <c r="C39" s="67">
        <v>65</v>
      </c>
      <c r="D39" s="68">
        <f>+'กระดาษทำการ 30 เม.ย.58'!BP41</f>
        <v>0</v>
      </c>
      <c r="E39" s="68">
        <f>+'กระดาษทำการ 30 เม.ย.58'!BQ41</f>
        <v>16695</v>
      </c>
      <c r="F39" s="91"/>
      <c r="G39" s="91"/>
      <c r="H39" s="62"/>
      <c r="I39" s="68">
        <f t="shared" si="37"/>
        <v>16695</v>
      </c>
      <c r="J39" s="91"/>
      <c r="K39" s="91"/>
      <c r="L39" s="68"/>
      <c r="M39" s="68">
        <f t="shared" si="38"/>
        <v>16695</v>
      </c>
      <c r="N39" s="91"/>
      <c r="O39" s="91"/>
      <c r="P39" s="68"/>
      <c r="Q39" s="68">
        <f t="shared" si="33"/>
        <v>16695</v>
      </c>
      <c r="R39" s="91"/>
      <c r="S39" s="91"/>
      <c r="T39" s="68"/>
      <c r="U39" s="68">
        <f t="shared" si="34"/>
        <v>16695</v>
      </c>
      <c r="V39" s="91"/>
      <c r="W39" s="91"/>
      <c r="X39" s="68"/>
      <c r="Y39" s="68">
        <f t="shared" si="26"/>
        <v>16695</v>
      </c>
      <c r="Z39" s="91"/>
      <c r="AA39" s="91"/>
      <c r="AB39" s="68"/>
      <c r="AC39" s="68">
        <f t="shared" si="35"/>
        <v>16695</v>
      </c>
      <c r="AD39" s="91"/>
      <c r="AE39" s="91"/>
      <c r="AF39" s="68"/>
      <c r="AG39" s="68">
        <f t="shared" si="36"/>
        <v>16695</v>
      </c>
      <c r="AH39" s="91"/>
      <c r="AI39" s="91"/>
      <c r="AJ39" s="68"/>
      <c r="AK39" s="68">
        <f t="shared" si="14"/>
        <v>16695</v>
      </c>
      <c r="AL39" s="91"/>
      <c r="AM39" s="91"/>
      <c r="AN39" s="68"/>
      <c r="AO39" s="68">
        <f t="shared" si="39"/>
        <v>16695</v>
      </c>
      <c r="AP39" s="91"/>
      <c r="AQ39" s="91"/>
      <c r="AR39" s="62">
        <f t="shared" si="40"/>
        <v>0</v>
      </c>
      <c r="AS39" s="68">
        <f t="shared" si="27"/>
        <v>16695</v>
      </c>
      <c r="AT39" s="91"/>
      <c r="AU39" s="91"/>
      <c r="AV39" s="68"/>
      <c r="AW39" s="68">
        <f t="shared" si="41"/>
        <v>16695</v>
      </c>
      <c r="AX39" s="91"/>
      <c r="AY39" s="91"/>
      <c r="AZ39" s="68"/>
      <c r="BA39" s="68">
        <f t="shared" si="42"/>
        <v>16695</v>
      </c>
      <c r="BB39" s="91"/>
      <c r="BC39" s="91"/>
      <c r="BD39" s="68"/>
      <c r="BE39" s="68">
        <f t="shared" si="28"/>
        <v>16695</v>
      </c>
      <c r="BF39" s="91"/>
      <c r="BG39" s="91"/>
      <c r="BH39" s="68"/>
      <c r="BI39" s="68">
        <f t="shared" si="29"/>
        <v>16695</v>
      </c>
      <c r="BJ39" s="91"/>
      <c r="BK39" s="91"/>
      <c r="BL39" s="68"/>
      <c r="BM39" s="68">
        <f t="shared" si="30"/>
        <v>16695</v>
      </c>
      <c r="BN39" s="91"/>
      <c r="BO39" s="91"/>
      <c r="BP39" s="68"/>
      <c r="BQ39" s="68">
        <f t="shared" si="31"/>
        <v>16695</v>
      </c>
      <c r="BR39" s="68"/>
      <c r="BS39" s="68"/>
      <c r="BT39" s="68"/>
      <c r="BU39" s="68">
        <f t="shared" si="32"/>
        <v>16695</v>
      </c>
      <c r="BV39" s="31"/>
      <c r="BW39" s="32"/>
      <c r="BX39" s="27"/>
      <c r="BY39" s="32"/>
      <c r="BZ39" s="32"/>
      <c r="CA39" s="32">
        <f t="shared" si="43"/>
        <v>16695</v>
      </c>
      <c r="CB39" s="32"/>
      <c r="CC39" s="32"/>
      <c r="CD39" s="32"/>
      <c r="CE39" s="32"/>
      <c r="CF39" s="32"/>
      <c r="CG39" s="32">
        <f t="shared" ref="CG39:CG48" si="44">CA39</f>
        <v>16695</v>
      </c>
    </row>
    <row r="40" spans="1:85" x14ac:dyDescent="0.5">
      <c r="A40" s="61">
        <v>34</v>
      </c>
      <c r="B40" s="81" t="s">
        <v>5</v>
      </c>
      <c r="C40" s="67">
        <v>159</v>
      </c>
      <c r="D40" s="68">
        <f>+'กระดาษทำการ 30 เม.ย.58'!BP42</f>
        <v>0</v>
      </c>
      <c r="E40" s="68">
        <f>+'กระดาษทำการ 30 เม.ย.58'!BQ42</f>
        <v>600</v>
      </c>
      <c r="F40" s="91"/>
      <c r="G40" s="91"/>
      <c r="H40" s="62"/>
      <c r="I40" s="68">
        <f t="shared" si="37"/>
        <v>600</v>
      </c>
      <c r="J40" s="91"/>
      <c r="K40" s="91"/>
      <c r="L40" s="68"/>
      <c r="M40" s="68">
        <f t="shared" si="38"/>
        <v>600</v>
      </c>
      <c r="N40" s="91"/>
      <c r="O40" s="91"/>
      <c r="P40" s="68"/>
      <c r="Q40" s="68">
        <f t="shared" si="33"/>
        <v>600</v>
      </c>
      <c r="R40" s="91"/>
      <c r="S40" s="91"/>
      <c r="T40" s="68"/>
      <c r="U40" s="68">
        <f t="shared" si="34"/>
        <v>600</v>
      </c>
      <c r="V40" s="91"/>
      <c r="W40" s="91"/>
      <c r="X40" s="68"/>
      <c r="Y40" s="68">
        <f t="shared" si="26"/>
        <v>600</v>
      </c>
      <c r="Z40" s="91"/>
      <c r="AA40" s="91"/>
      <c r="AB40" s="68"/>
      <c r="AC40" s="68">
        <f t="shared" si="35"/>
        <v>600</v>
      </c>
      <c r="AD40" s="91"/>
      <c r="AE40" s="91"/>
      <c r="AF40" s="68"/>
      <c r="AG40" s="68">
        <f t="shared" si="36"/>
        <v>600</v>
      </c>
      <c r="AH40" s="91"/>
      <c r="AI40" s="91"/>
      <c r="AJ40" s="68"/>
      <c r="AK40" s="68">
        <f t="shared" si="14"/>
        <v>600</v>
      </c>
      <c r="AL40" s="91"/>
      <c r="AM40" s="91"/>
      <c r="AN40" s="68"/>
      <c r="AO40" s="68">
        <f t="shared" si="39"/>
        <v>600</v>
      </c>
      <c r="AP40" s="91"/>
      <c r="AQ40" s="91"/>
      <c r="AR40" s="62">
        <f t="shared" si="40"/>
        <v>0</v>
      </c>
      <c r="AS40" s="68">
        <f t="shared" si="27"/>
        <v>600</v>
      </c>
      <c r="AT40" s="91"/>
      <c r="AU40" s="91"/>
      <c r="AV40" s="68"/>
      <c r="AW40" s="68">
        <f t="shared" si="41"/>
        <v>600</v>
      </c>
      <c r="AX40" s="91"/>
      <c r="AY40" s="91"/>
      <c r="AZ40" s="68"/>
      <c r="BA40" s="68">
        <f t="shared" si="42"/>
        <v>600</v>
      </c>
      <c r="BB40" s="91"/>
      <c r="BC40" s="91"/>
      <c r="BD40" s="68"/>
      <c r="BE40" s="68">
        <f t="shared" si="28"/>
        <v>600</v>
      </c>
      <c r="BF40" s="91"/>
      <c r="BG40" s="91"/>
      <c r="BH40" s="68"/>
      <c r="BI40" s="68">
        <f t="shared" si="29"/>
        <v>600</v>
      </c>
      <c r="BJ40" s="91"/>
      <c r="BK40" s="91"/>
      <c r="BL40" s="68"/>
      <c r="BM40" s="68">
        <f t="shared" si="30"/>
        <v>600</v>
      </c>
      <c r="BN40" s="91"/>
      <c r="BO40" s="91"/>
      <c r="BP40" s="68"/>
      <c r="BQ40" s="68">
        <f t="shared" si="31"/>
        <v>600</v>
      </c>
      <c r="BR40" s="68"/>
      <c r="BS40" s="68"/>
      <c r="BT40" s="68"/>
      <c r="BU40" s="68">
        <f t="shared" si="32"/>
        <v>600</v>
      </c>
      <c r="BV40" s="31"/>
      <c r="BW40" s="32"/>
      <c r="BX40" s="27"/>
      <c r="BY40" s="32"/>
      <c r="BZ40" s="32"/>
      <c r="CA40" s="32">
        <f t="shared" si="43"/>
        <v>600</v>
      </c>
      <c r="CB40" s="32"/>
      <c r="CC40" s="32"/>
      <c r="CD40" s="32"/>
      <c r="CE40" s="32"/>
      <c r="CF40" s="32"/>
      <c r="CG40" s="32">
        <f t="shared" si="44"/>
        <v>600</v>
      </c>
    </row>
    <row r="41" spans="1:85" x14ac:dyDescent="0.5">
      <c r="A41" s="61">
        <v>35</v>
      </c>
      <c r="B41" s="81" t="s">
        <v>0</v>
      </c>
      <c r="C41" s="67">
        <v>163</v>
      </c>
      <c r="D41" s="68">
        <f>+'กระดาษทำการ 30 เม.ย.58'!BP43</f>
        <v>0</v>
      </c>
      <c r="E41" s="68">
        <f>+'กระดาษทำการ 30 เม.ย.58'!BQ43</f>
        <v>6209.34</v>
      </c>
      <c r="F41" s="91"/>
      <c r="G41" s="91"/>
      <c r="H41" s="62"/>
      <c r="I41" s="68">
        <f t="shared" si="37"/>
        <v>6209.34</v>
      </c>
      <c r="J41" s="91"/>
      <c r="K41" s="91"/>
      <c r="L41" s="68"/>
      <c r="M41" s="68">
        <f t="shared" si="38"/>
        <v>6209.34</v>
      </c>
      <c r="N41" s="91"/>
      <c r="O41" s="91"/>
      <c r="P41" s="68"/>
      <c r="Q41" s="68">
        <f t="shared" si="33"/>
        <v>6209.34</v>
      </c>
      <c r="R41" s="91"/>
      <c r="S41" s="91"/>
      <c r="T41" s="68"/>
      <c r="U41" s="68">
        <f>+Q41+S41-R41</f>
        <v>6209.34</v>
      </c>
      <c r="V41" s="91"/>
      <c r="W41" s="91"/>
      <c r="X41" s="68"/>
      <c r="Y41" s="68">
        <f t="shared" si="26"/>
        <v>6209.34</v>
      </c>
      <c r="Z41" s="91"/>
      <c r="AA41" s="91"/>
      <c r="AB41" s="68"/>
      <c r="AC41" s="68">
        <f t="shared" si="35"/>
        <v>6209.34</v>
      </c>
      <c r="AD41" s="91"/>
      <c r="AE41" s="91"/>
      <c r="AF41" s="68"/>
      <c r="AG41" s="68">
        <f t="shared" si="36"/>
        <v>6209.34</v>
      </c>
      <c r="AH41" s="91"/>
      <c r="AI41" s="91"/>
      <c r="AJ41" s="68"/>
      <c r="AK41" s="68">
        <f t="shared" si="14"/>
        <v>6209.34</v>
      </c>
      <c r="AL41" s="91"/>
      <c r="AM41" s="91"/>
      <c r="AN41" s="68"/>
      <c r="AO41" s="68">
        <f t="shared" si="39"/>
        <v>6209.34</v>
      </c>
      <c r="AP41" s="91"/>
      <c r="AQ41" s="91"/>
      <c r="AR41" s="62">
        <f t="shared" si="40"/>
        <v>0</v>
      </c>
      <c r="AS41" s="68">
        <f t="shared" si="27"/>
        <v>6209.34</v>
      </c>
      <c r="AT41" s="91"/>
      <c r="AU41" s="91"/>
      <c r="AV41" s="68"/>
      <c r="AW41" s="68">
        <f t="shared" si="41"/>
        <v>6209.34</v>
      </c>
      <c r="AX41" s="91"/>
      <c r="AY41" s="91"/>
      <c r="AZ41" s="68"/>
      <c r="BA41" s="68">
        <f t="shared" si="42"/>
        <v>6209.34</v>
      </c>
      <c r="BB41" s="91"/>
      <c r="BC41" s="91"/>
      <c r="BD41" s="68"/>
      <c r="BE41" s="68">
        <f t="shared" si="28"/>
        <v>6209.34</v>
      </c>
      <c r="BF41" s="91"/>
      <c r="BG41" s="91"/>
      <c r="BH41" s="68"/>
      <c r="BI41" s="68">
        <f t="shared" si="29"/>
        <v>6209.34</v>
      </c>
      <c r="BJ41" s="91"/>
      <c r="BK41" s="91"/>
      <c r="BL41" s="68"/>
      <c r="BM41" s="68">
        <f t="shared" si="30"/>
        <v>6209.34</v>
      </c>
      <c r="BN41" s="91"/>
      <c r="BO41" s="91"/>
      <c r="BP41" s="68"/>
      <c r="BQ41" s="68">
        <f t="shared" si="31"/>
        <v>6209.34</v>
      </c>
      <c r="BR41" s="68"/>
      <c r="BS41" s="68"/>
      <c r="BT41" s="68"/>
      <c r="BU41" s="68">
        <f t="shared" si="32"/>
        <v>6209.34</v>
      </c>
      <c r="BV41" s="31"/>
      <c r="BW41" s="32"/>
      <c r="BX41" s="27"/>
      <c r="BY41" s="32"/>
      <c r="BZ41" s="32"/>
      <c r="CA41" s="32">
        <f t="shared" si="43"/>
        <v>6209.34</v>
      </c>
      <c r="CB41" s="32"/>
      <c r="CC41" s="32"/>
      <c r="CD41" s="32"/>
      <c r="CE41" s="32"/>
      <c r="CF41" s="32"/>
      <c r="CG41" s="32">
        <f t="shared" si="44"/>
        <v>6209.34</v>
      </c>
    </row>
    <row r="42" spans="1:85" x14ac:dyDescent="0.5">
      <c r="A42" s="61">
        <v>36</v>
      </c>
      <c r="B42" s="81" t="s">
        <v>60</v>
      </c>
      <c r="C42" s="67">
        <v>167</v>
      </c>
      <c r="D42" s="68">
        <f>+'กระดาษทำการ 30 เม.ย.58'!BP44</f>
        <v>0</v>
      </c>
      <c r="E42" s="68">
        <f>+'กระดาษทำการ 30 เม.ย.58'!BQ44</f>
        <v>600</v>
      </c>
      <c r="F42" s="91"/>
      <c r="G42" s="91"/>
      <c r="H42" s="62"/>
      <c r="I42" s="68">
        <f t="shared" si="37"/>
        <v>600</v>
      </c>
      <c r="J42" s="91"/>
      <c r="K42" s="91"/>
      <c r="L42" s="68"/>
      <c r="M42" s="68">
        <f t="shared" si="38"/>
        <v>600</v>
      </c>
      <c r="N42" s="91"/>
      <c r="O42" s="91"/>
      <c r="P42" s="68"/>
      <c r="Q42" s="68">
        <f t="shared" si="33"/>
        <v>600</v>
      </c>
      <c r="R42" s="91"/>
      <c r="S42" s="91"/>
      <c r="T42" s="68"/>
      <c r="U42" s="68">
        <f t="shared" si="34"/>
        <v>600</v>
      </c>
      <c r="V42" s="91"/>
      <c r="W42" s="91"/>
      <c r="X42" s="68"/>
      <c r="Y42" s="68">
        <f t="shared" si="26"/>
        <v>600</v>
      </c>
      <c r="Z42" s="91"/>
      <c r="AA42" s="91"/>
      <c r="AB42" s="68"/>
      <c r="AC42" s="68">
        <f t="shared" si="35"/>
        <v>600</v>
      </c>
      <c r="AD42" s="91"/>
      <c r="AE42" s="91"/>
      <c r="AF42" s="68"/>
      <c r="AG42" s="68">
        <f t="shared" si="36"/>
        <v>600</v>
      </c>
      <c r="AH42" s="91"/>
      <c r="AI42" s="91"/>
      <c r="AJ42" s="68"/>
      <c r="AK42" s="68">
        <f t="shared" si="14"/>
        <v>600</v>
      </c>
      <c r="AL42" s="91"/>
      <c r="AM42" s="91"/>
      <c r="AN42" s="68"/>
      <c r="AO42" s="68">
        <f t="shared" si="39"/>
        <v>600</v>
      </c>
      <c r="AP42" s="91"/>
      <c r="AQ42" s="91"/>
      <c r="AR42" s="62">
        <f t="shared" si="40"/>
        <v>0</v>
      </c>
      <c r="AS42" s="68">
        <f t="shared" si="27"/>
        <v>600</v>
      </c>
      <c r="AT42" s="91"/>
      <c r="AU42" s="91"/>
      <c r="AV42" s="68"/>
      <c r="AW42" s="68">
        <f t="shared" si="41"/>
        <v>600</v>
      </c>
      <c r="AX42" s="91"/>
      <c r="AY42" s="91"/>
      <c r="AZ42" s="68"/>
      <c r="BA42" s="68">
        <f t="shared" si="42"/>
        <v>600</v>
      </c>
      <c r="BB42" s="91"/>
      <c r="BC42" s="91"/>
      <c r="BD42" s="68"/>
      <c r="BE42" s="68">
        <f t="shared" si="28"/>
        <v>600</v>
      </c>
      <c r="BF42" s="91"/>
      <c r="BG42" s="91"/>
      <c r="BH42" s="68"/>
      <c r="BI42" s="68">
        <f t="shared" si="29"/>
        <v>600</v>
      </c>
      <c r="BJ42" s="91"/>
      <c r="BK42" s="91"/>
      <c r="BL42" s="68"/>
      <c r="BM42" s="68">
        <f t="shared" si="30"/>
        <v>600</v>
      </c>
      <c r="BN42" s="91"/>
      <c r="BO42" s="91"/>
      <c r="BP42" s="68"/>
      <c r="BQ42" s="68">
        <f t="shared" si="31"/>
        <v>600</v>
      </c>
      <c r="BR42" s="68"/>
      <c r="BS42" s="68"/>
      <c r="BT42" s="68"/>
      <c r="BU42" s="68">
        <f t="shared" si="32"/>
        <v>600</v>
      </c>
      <c r="BV42" s="31"/>
      <c r="BW42" s="32"/>
      <c r="BX42" s="27"/>
      <c r="BY42" s="32"/>
      <c r="BZ42" s="32"/>
      <c r="CA42" s="32">
        <f t="shared" si="43"/>
        <v>600</v>
      </c>
      <c r="CB42" s="32"/>
      <c r="CC42" s="32"/>
      <c r="CD42" s="32"/>
      <c r="CE42" s="32"/>
      <c r="CF42" s="32"/>
      <c r="CG42" s="32">
        <f t="shared" si="44"/>
        <v>600</v>
      </c>
    </row>
    <row r="43" spans="1:85" x14ac:dyDescent="0.5">
      <c r="A43" s="61">
        <v>37</v>
      </c>
      <c r="B43" s="81" t="s">
        <v>61</v>
      </c>
      <c r="C43" s="67">
        <v>171</v>
      </c>
      <c r="D43" s="68">
        <f>+'กระดาษทำการ 30 เม.ย.58'!BP45</f>
        <v>0</v>
      </c>
      <c r="E43" s="68">
        <f>+'กระดาษทำการ 30 เม.ย.58'!BQ45</f>
        <v>69060.149999999994</v>
      </c>
      <c r="F43" s="91"/>
      <c r="G43" s="91"/>
      <c r="H43" s="62"/>
      <c r="I43" s="68">
        <f t="shared" si="37"/>
        <v>69060.149999999994</v>
      </c>
      <c r="J43" s="91"/>
      <c r="K43" s="91"/>
      <c r="L43" s="68"/>
      <c r="M43" s="68">
        <f>+I43-J43+K43</f>
        <v>69060.149999999994</v>
      </c>
      <c r="N43" s="91"/>
      <c r="O43" s="91"/>
      <c r="P43" s="68"/>
      <c r="Q43" s="68">
        <f t="shared" si="33"/>
        <v>69060.149999999994</v>
      </c>
      <c r="R43" s="91"/>
      <c r="S43" s="91"/>
      <c r="T43" s="68"/>
      <c r="U43" s="68">
        <f t="shared" si="34"/>
        <v>69060.149999999994</v>
      </c>
      <c r="V43" s="91"/>
      <c r="W43" s="91"/>
      <c r="X43" s="68"/>
      <c r="Y43" s="68">
        <f t="shared" si="26"/>
        <v>69060.149999999994</v>
      </c>
      <c r="Z43" s="91"/>
      <c r="AA43" s="91"/>
      <c r="AB43" s="68"/>
      <c r="AC43" s="68">
        <f>+Y43+AA43-Z43</f>
        <v>69060.149999999994</v>
      </c>
      <c r="AD43" s="91"/>
      <c r="AE43" s="91"/>
      <c r="AF43" s="68"/>
      <c r="AG43" s="68">
        <f t="shared" si="36"/>
        <v>69060.149999999994</v>
      </c>
      <c r="AH43" s="91"/>
      <c r="AI43" s="91"/>
      <c r="AJ43" s="68"/>
      <c r="AK43" s="68">
        <f t="shared" si="14"/>
        <v>69060.149999999994</v>
      </c>
      <c r="AL43" s="91"/>
      <c r="AM43" s="91"/>
      <c r="AN43" s="68"/>
      <c r="AO43" s="68">
        <f t="shared" si="39"/>
        <v>69060.149999999994</v>
      </c>
      <c r="AP43" s="91"/>
      <c r="AQ43" s="91"/>
      <c r="AR43" s="62">
        <f t="shared" si="40"/>
        <v>0</v>
      </c>
      <c r="AS43" s="68">
        <f t="shared" si="27"/>
        <v>69060.149999999994</v>
      </c>
      <c r="AT43" s="91"/>
      <c r="AU43" s="91"/>
      <c r="AV43" s="68"/>
      <c r="AW43" s="68">
        <f t="shared" si="41"/>
        <v>69060.149999999994</v>
      </c>
      <c r="AX43" s="91"/>
      <c r="AY43" s="91"/>
      <c r="AZ43" s="68"/>
      <c r="BA43" s="68">
        <f t="shared" si="42"/>
        <v>69060.149999999994</v>
      </c>
      <c r="BB43" s="91"/>
      <c r="BC43" s="91"/>
      <c r="BD43" s="68"/>
      <c r="BE43" s="68">
        <f t="shared" si="28"/>
        <v>69060.149999999994</v>
      </c>
      <c r="BF43" s="91"/>
      <c r="BG43" s="91"/>
      <c r="BH43" s="68"/>
      <c r="BI43" s="68">
        <f t="shared" si="29"/>
        <v>69060.149999999994</v>
      </c>
      <c r="BJ43" s="91"/>
      <c r="BK43" s="91"/>
      <c r="BL43" s="68"/>
      <c r="BM43" s="68">
        <f t="shared" si="30"/>
        <v>69060.149999999994</v>
      </c>
      <c r="BN43" s="91"/>
      <c r="BO43" s="91"/>
      <c r="BP43" s="68"/>
      <c r="BQ43" s="68">
        <f t="shared" si="31"/>
        <v>69060.149999999994</v>
      </c>
      <c r="BR43" s="68"/>
      <c r="BS43" s="68"/>
      <c r="BT43" s="68"/>
      <c r="BU43" s="68">
        <f t="shared" si="32"/>
        <v>69060.149999999994</v>
      </c>
      <c r="BV43" s="31"/>
      <c r="BW43" s="32"/>
      <c r="BX43" s="27"/>
      <c r="BY43" s="32"/>
      <c r="BZ43" s="32"/>
      <c r="CA43" s="32">
        <f t="shared" si="43"/>
        <v>69060.149999999994</v>
      </c>
      <c r="CB43" s="32"/>
      <c r="CC43" s="32"/>
      <c r="CD43" s="32"/>
      <c r="CE43" s="32"/>
      <c r="CF43" s="32"/>
      <c r="CG43" s="32">
        <f t="shared" si="44"/>
        <v>69060.149999999994</v>
      </c>
    </row>
    <row r="44" spans="1:85" ht="24" x14ac:dyDescent="0.55000000000000004">
      <c r="A44" s="61">
        <v>38</v>
      </c>
      <c r="B44" s="83" t="s">
        <v>83</v>
      </c>
      <c r="C44" s="67"/>
      <c r="D44" s="68">
        <f>+'กระดาษทำการ 30 เม.ย.58'!BP47</f>
        <v>0</v>
      </c>
      <c r="E44" s="68">
        <f>+'กระดาษทำการ 30 เม.ย.58'!BQ47</f>
        <v>0</v>
      </c>
      <c r="F44" s="91"/>
      <c r="G44" s="91"/>
      <c r="H44" s="62"/>
      <c r="I44" s="68">
        <f t="shared" si="37"/>
        <v>0</v>
      </c>
      <c r="J44" s="119"/>
      <c r="K44" s="119">
        <f>7370+7370</f>
        <v>14740</v>
      </c>
      <c r="L44" s="68"/>
      <c r="M44" s="68">
        <f t="shared" si="38"/>
        <v>14740</v>
      </c>
      <c r="N44" s="119"/>
      <c r="O44" s="119">
        <f>7370+7370</f>
        <v>14740</v>
      </c>
      <c r="P44" s="68"/>
      <c r="Q44" s="68">
        <f t="shared" si="33"/>
        <v>29480</v>
      </c>
      <c r="R44" s="91"/>
      <c r="S44" s="91"/>
      <c r="T44" s="68"/>
      <c r="U44" s="68">
        <f t="shared" si="34"/>
        <v>29480</v>
      </c>
      <c r="V44" s="92"/>
      <c r="W44" s="92">
        <f>7370+7370</f>
        <v>14740</v>
      </c>
      <c r="X44" s="68"/>
      <c r="Y44" s="68">
        <f t="shared" si="26"/>
        <v>44220</v>
      </c>
      <c r="Z44" s="91"/>
      <c r="AA44" s="91">
        <v>7370</v>
      </c>
      <c r="AB44" s="68"/>
      <c r="AC44" s="68">
        <f t="shared" si="35"/>
        <v>51590</v>
      </c>
      <c r="AD44" s="91"/>
      <c r="AE44" s="91"/>
      <c r="AF44" s="68"/>
      <c r="AG44" s="68">
        <f t="shared" si="36"/>
        <v>51590</v>
      </c>
      <c r="AH44" s="91"/>
      <c r="AI44" s="91"/>
      <c r="AJ44" s="68"/>
      <c r="AK44" s="68">
        <f t="shared" si="14"/>
        <v>51590</v>
      </c>
      <c r="AL44" s="91"/>
      <c r="AM44" s="91"/>
      <c r="AN44" s="68"/>
      <c r="AO44" s="68">
        <f>+AK44</f>
        <v>51590</v>
      </c>
      <c r="AP44" s="91"/>
      <c r="AQ44" s="91"/>
      <c r="AR44" s="62">
        <f t="shared" si="40"/>
        <v>0</v>
      </c>
      <c r="AS44" s="68">
        <f t="shared" si="27"/>
        <v>51590</v>
      </c>
      <c r="AT44" s="91"/>
      <c r="AU44" s="91"/>
      <c r="AV44" s="68"/>
      <c r="AW44" s="68">
        <f t="shared" si="41"/>
        <v>51590</v>
      </c>
      <c r="AX44" s="91"/>
      <c r="AY44" s="91"/>
      <c r="AZ44" s="68"/>
      <c r="BA44" s="68">
        <f t="shared" si="42"/>
        <v>51590</v>
      </c>
      <c r="BB44" s="91"/>
      <c r="BC44" s="91"/>
      <c r="BD44" s="68"/>
      <c r="BE44" s="68">
        <f t="shared" si="28"/>
        <v>51590</v>
      </c>
      <c r="BF44" s="91"/>
      <c r="BG44" s="91"/>
      <c r="BH44" s="68"/>
      <c r="BI44" s="68">
        <f t="shared" si="29"/>
        <v>51590</v>
      </c>
      <c r="BJ44" s="91"/>
      <c r="BK44" s="91"/>
      <c r="BL44" s="68"/>
      <c r="BM44" s="68">
        <f t="shared" si="30"/>
        <v>51590</v>
      </c>
      <c r="BN44" s="91"/>
      <c r="BO44" s="91"/>
      <c r="BP44" s="68"/>
      <c r="BQ44" s="68">
        <f t="shared" si="31"/>
        <v>51590</v>
      </c>
      <c r="BR44" s="68"/>
      <c r="BS44" s="68"/>
      <c r="BT44" s="68"/>
      <c r="BU44" s="68">
        <f t="shared" si="32"/>
        <v>0</v>
      </c>
      <c r="BV44" s="31">
        <v>16</v>
      </c>
      <c r="BW44" s="32">
        <v>22110</v>
      </c>
      <c r="BX44" s="27"/>
      <c r="BY44" s="32"/>
      <c r="BZ44" s="32"/>
      <c r="CA44" s="32">
        <f t="shared" si="43"/>
        <v>-22110</v>
      </c>
      <c r="CB44" s="32"/>
      <c r="CC44" s="32"/>
      <c r="CD44" s="32"/>
      <c r="CE44" s="32"/>
      <c r="CF44" s="32"/>
      <c r="CG44" s="32">
        <f t="shared" si="44"/>
        <v>-22110</v>
      </c>
    </row>
    <row r="45" spans="1:85" x14ac:dyDescent="0.5">
      <c r="A45" s="61">
        <v>39</v>
      </c>
      <c r="B45" s="83" t="s">
        <v>165</v>
      </c>
      <c r="C45" s="67"/>
      <c r="D45" s="68">
        <f>+'กระดาษทำการ 30 เม.ย.58'!BP46</f>
        <v>0</v>
      </c>
      <c r="E45" s="68">
        <f>+'กระดาษทำการ 30 เม.ย.58'!BQ46</f>
        <v>0</v>
      </c>
      <c r="F45" s="91"/>
      <c r="G45" s="91"/>
      <c r="H45" s="62"/>
      <c r="I45" s="68">
        <f>+E45</f>
        <v>0</v>
      </c>
      <c r="J45" s="91"/>
      <c r="K45" s="91"/>
      <c r="L45" s="68"/>
      <c r="M45" s="68">
        <f>+I45-J45+K45</f>
        <v>0</v>
      </c>
      <c r="N45" s="91"/>
      <c r="O45" s="91"/>
      <c r="P45" s="68"/>
      <c r="Q45" s="68">
        <f>+M45+O45-N45</f>
        <v>0</v>
      </c>
      <c r="R45" s="91"/>
      <c r="S45" s="91"/>
      <c r="T45" s="68"/>
      <c r="U45" s="68">
        <f>+Q45+S45-R45</f>
        <v>0</v>
      </c>
      <c r="V45" s="91"/>
      <c r="W45" s="91"/>
      <c r="X45" s="68"/>
      <c r="Y45" s="68">
        <f>+U45+W45-V45</f>
        <v>0</v>
      </c>
      <c r="Z45" s="91"/>
      <c r="AA45" s="91"/>
      <c r="AB45" s="68"/>
      <c r="AC45" s="68">
        <f>+Y45+AA45-Z45</f>
        <v>0</v>
      </c>
      <c r="AD45" s="91"/>
      <c r="AE45" s="91"/>
      <c r="AF45" s="68"/>
      <c r="AG45" s="68">
        <f>+AC45+AE45-AD45</f>
        <v>0</v>
      </c>
      <c r="AH45" s="91"/>
      <c r="AI45" s="91"/>
      <c r="AJ45" s="68"/>
      <c r="AK45" s="68">
        <f>+AG45+AI45-AH45</f>
        <v>0</v>
      </c>
      <c r="AL45" s="91"/>
      <c r="AM45" s="91"/>
      <c r="AN45" s="68"/>
      <c r="AO45" s="68">
        <f>+AK45</f>
        <v>0</v>
      </c>
      <c r="AP45" s="91"/>
      <c r="AQ45" s="91">
        <f>11280+11280+11280</f>
        <v>33840</v>
      </c>
      <c r="AR45" s="62">
        <v>0</v>
      </c>
      <c r="AS45" s="68">
        <f>+AO45+AQ45-AP45</f>
        <v>33840</v>
      </c>
      <c r="AT45" s="91"/>
      <c r="AU45" s="91"/>
      <c r="AV45" s="68"/>
      <c r="AW45" s="68">
        <f>+AS45+AU45-AT45</f>
        <v>33840</v>
      </c>
      <c r="AX45" s="91"/>
      <c r="AY45" s="91">
        <v>11280</v>
      </c>
      <c r="AZ45" s="68"/>
      <c r="BA45" s="68">
        <f>+AW45+AY45-AX45</f>
        <v>45120</v>
      </c>
      <c r="BB45" s="91"/>
      <c r="BC45" s="91"/>
      <c r="BD45" s="68"/>
      <c r="BE45" s="68">
        <f t="shared" si="28"/>
        <v>45120</v>
      </c>
      <c r="BF45" s="91">
        <v>56400</v>
      </c>
      <c r="BG45" s="91">
        <v>56400</v>
      </c>
      <c r="BH45" s="68"/>
      <c r="BI45" s="68">
        <f t="shared" si="29"/>
        <v>45120</v>
      </c>
      <c r="BJ45" s="91"/>
      <c r="BK45" s="91"/>
      <c r="BL45" s="68"/>
      <c r="BM45" s="68">
        <f t="shared" si="30"/>
        <v>45120</v>
      </c>
      <c r="BN45" s="91"/>
      <c r="BO45" s="91"/>
      <c r="BP45" s="68"/>
      <c r="BQ45" s="68">
        <f t="shared" si="31"/>
        <v>45120</v>
      </c>
      <c r="BR45" s="68"/>
      <c r="BS45" s="68"/>
      <c r="BT45" s="68"/>
      <c r="BU45" s="68">
        <f t="shared" si="32"/>
        <v>0</v>
      </c>
      <c r="BV45" s="31">
        <v>15</v>
      </c>
      <c r="BW45" s="32">
        <v>91400</v>
      </c>
      <c r="BX45" s="27"/>
      <c r="BY45" s="32"/>
      <c r="BZ45" s="32"/>
      <c r="CA45" s="32">
        <f>BU45+BY45-BW45</f>
        <v>-91400</v>
      </c>
      <c r="CB45" s="32"/>
      <c r="CC45" s="32"/>
      <c r="CD45" s="32"/>
      <c r="CE45" s="32"/>
      <c r="CF45" s="32"/>
      <c r="CG45" s="32">
        <f>CA45</f>
        <v>-91400</v>
      </c>
    </row>
    <row r="46" spans="1:85" x14ac:dyDescent="0.5">
      <c r="A46" s="61">
        <v>40</v>
      </c>
      <c r="B46" s="84" t="s">
        <v>63</v>
      </c>
      <c r="C46" s="67">
        <v>177</v>
      </c>
      <c r="D46" s="68">
        <f>+'กระดาษทำการ 30 เม.ย.58'!BP48</f>
        <v>0</v>
      </c>
      <c r="E46" s="68">
        <f>+'กระดาษทำการ 30 เม.ย.58'!BQ48</f>
        <v>200000</v>
      </c>
      <c r="F46" s="91"/>
      <c r="G46" s="91"/>
      <c r="H46" s="68"/>
      <c r="I46" s="68">
        <f t="shared" si="37"/>
        <v>200000</v>
      </c>
      <c r="J46" s="91"/>
      <c r="K46" s="91"/>
      <c r="L46" s="68"/>
      <c r="M46" s="68">
        <f t="shared" si="38"/>
        <v>200000</v>
      </c>
      <c r="N46" s="91"/>
      <c r="O46" s="91"/>
      <c r="P46" s="68"/>
      <c r="Q46" s="68">
        <f t="shared" si="33"/>
        <v>200000</v>
      </c>
      <c r="R46" s="91"/>
      <c r="S46" s="91"/>
      <c r="T46" s="68"/>
      <c r="U46" s="68">
        <f t="shared" si="34"/>
        <v>200000</v>
      </c>
      <c r="V46" s="91"/>
      <c r="W46" s="91"/>
      <c r="X46" s="68"/>
      <c r="Y46" s="68">
        <f t="shared" si="26"/>
        <v>200000</v>
      </c>
      <c r="Z46" s="91"/>
      <c r="AA46" s="91"/>
      <c r="AB46" s="68"/>
      <c r="AC46" s="68">
        <f t="shared" si="35"/>
        <v>200000</v>
      </c>
      <c r="AD46" s="91"/>
      <c r="AE46" s="91"/>
      <c r="AF46" s="68"/>
      <c r="AG46" s="68">
        <f t="shared" si="36"/>
        <v>200000</v>
      </c>
      <c r="AH46" s="91"/>
      <c r="AI46" s="91"/>
      <c r="AJ46" s="68"/>
      <c r="AK46" s="68">
        <f t="shared" si="14"/>
        <v>200000</v>
      </c>
      <c r="AL46" s="91"/>
      <c r="AM46" s="91"/>
      <c r="AN46" s="68"/>
      <c r="AO46" s="68">
        <f t="shared" si="39"/>
        <v>200000</v>
      </c>
      <c r="AP46" s="91"/>
      <c r="AQ46" s="91"/>
      <c r="AR46" s="68">
        <f t="shared" si="40"/>
        <v>0</v>
      </c>
      <c r="AS46" s="68">
        <f t="shared" si="27"/>
        <v>200000</v>
      </c>
      <c r="AT46" s="91"/>
      <c r="AU46" s="91"/>
      <c r="AV46" s="68"/>
      <c r="AW46" s="68">
        <f t="shared" si="41"/>
        <v>200000</v>
      </c>
      <c r="AX46" s="91"/>
      <c r="AY46" s="91"/>
      <c r="AZ46" s="68"/>
      <c r="BA46" s="68">
        <f t="shared" si="42"/>
        <v>200000</v>
      </c>
      <c r="BB46" s="91"/>
      <c r="BC46" s="91"/>
      <c r="BD46" s="68"/>
      <c r="BE46" s="68">
        <f t="shared" si="28"/>
        <v>200000</v>
      </c>
      <c r="BF46" s="91"/>
      <c r="BG46" s="91"/>
      <c r="BH46" s="68"/>
      <c r="BI46" s="68">
        <f t="shared" si="29"/>
        <v>200000</v>
      </c>
      <c r="BJ46" s="91"/>
      <c r="BK46" s="91"/>
      <c r="BL46" s="68"/>
      <c r="BM46" s="68">
        <f t="shared" si="30"/>
        <v>200000</v>
      </c>
      <c r="BN46" s="91"/>
      <c r="BO46" s="91"/>
      <c r="BP46" s="68"/>
      <c r="BQ46" s="68">
        <f t="shared" si="31"/>
        <v>200000</v>
      </c>
      <c r="BR46" s="68"/>
      <c r="BS46" s="68"/>
      <c r="BT46" s="68"/>
      <c r="BU46" s="68">
        <f t="shared" si="32"/>
        <v>200000</v>
      </c>
      <c r="BV46" s="31"/>
      <c r="BW46" s="32"/>
      <c r="BX46" s="27"/>
      <c r="BY46" s="32"/>
      <c r="BZ46" s="32"/>
      <c r="CA46" s="32">
        <f t="shared" si="43"/>
        <v>200000</v>
      </c>
      <c r="CB46" s="32"/>
      <c r="CC46" s="32"/>
      <c r="CD46" s="32"/>
      <c r="CE46" s="32"/>
      <c r="CF46" s="32"/>
      <c r="CG46" s="32">
        <f t="shared" si="44"/>
        <v>200000</v>
      </c>
    </row>
    <row r="47" spans="1:85" x14ac:dyDescent="0.5">
      <c r="A47" s="61">
        <v>41</v>
      </c>
      <c r="B47" s="84" t="s">
        <v>108</v>
      </c>
      <c r="C47" s="67"/>
      <c r="D47" s="68">
        <f>+'กระดาษทำการ 30 เม.ย.58'!BP49</f>
        <v>0</v>
      </c>
      <c r="E47" s="68">
        <f>+'กระดาษทำการ 30 เม.ย.58'!BQ49</f>
        <v>50000</v>
      </c>
      <c r="F47" s="91"/>
      <c r="G47" s="91"/>
      <c r="H47" s="62"/>
      <c r="I47" s="68">
        <f t="shared" si="37"/>
        <v>50000</v>
      </c>
      <c r="J47" s="91"/>
      <c r="K47" s="91"/>
      <c r="L47" s="68"/>
      <c r="M47" s="68">
        <f t="shared" si="38"/>
        <v>50000</v>
      </c>
      <c r="N47" s="91"/>
      <c r="O47" s="91"/>
      <c r="P47" s="68"/>
      <c r="Q47" s="68">
        <f t="shared" si="33"/>
        <v>50000</v>
      </c>
      <c r="R47" s="91"/>
      <c r="S47" s="91"/>
      <c r="T47" s="68"/>
      <c r="U47" s="68">
        <f t="shared" si="34"/>
        <v>50000</v>
      </c>
      <c r="V47" s="91"/>
      <c r="W47" s="91"/>
      <c r="X47" s="68"/>
      <c r="Y47" s="68">
        <f t="shared" si="26"/>
        <v>50000</v>
      </c>
      <c r="Z47" s="91"/>
      <c r="AA47" s="91"/>
      <c r="AB47" s="68"/>
      <c r="AC47" s="68">
        <f t="shared" si="35"/>
        <v>50000</v>
      </c>
      <c r="AD47" s="91"/>
      <c r="AE47" s="91"/>
      <c r="AF47" s="68"/>
      <c r="AG47" s="68">
        <f t="shared" si="36"/>
        <v>50000</v>
      </c>
      <c r="AH47" s="91"/>
      <c r="AI47" s="91"/>
      <c r="AJ47" s="68"/>
      <c r="AK47" s="68">
        <f t="shared" si="14"/>
        <v>50000</v>
      </c>
      <c r="AL47" s="91"/>
      <c r="AM47" s="91"/>
      <c r="AN47" s="68"/>
      <c r="AO47" s="68">
        <f t="shared" si="39"/>
        <v>50000</v>
      </c>
      <c r="AP47" s="91"/>
      <c r="AQ47" s="91"/>
      <c r="AR47" s="62">
        <f t="shared" si="40"/>
        <v>0</v>
      </c>
      <c r="AS47" s="68">
        <f t="shared" si="27"/>
        <v>50000</v>
      </c>
      <c r="AT47" s="91"/>
      <c r="AU47" s="91"/>
      <c r="AV47" s="68"/>
      <c r="AW47" s="68">
        <f>+AS47+AU47-AT47</f>
        <v>50000</v>
      </c>
      <c r="AX47" s="91"/>
      <c r="AY47" s="91"/>
      <c r="AZ47" s="68"/>
      <c r="BA47" s="68">
        <f t="shared" si="42"/>
        <v>50000</v>
      </c>
      <c r="BB47" s="91"/>
      <c r="BC47" s="91"/>
      <c r="BD47" s="68"/>
      <c r="BE47" s="68">
        <f t="shared" si="28"/>
        <v>50000</v>
      </c>
      <c r="BF47" s="91"/>
      <c r="BG47" s="91"/>
      <c r="BH47" s="68"/>
      <c r="BI47" s="68">
        <f t="shared" si="29"/>
        <v>50000</v>
      </c>
      <c r="BJ47" s="91"/>
      <c r="BK47" s="91"/>
      <c r="BL47" s="68"/>
      <c r="BM47" s="68">
        <f t="shared" si="30"/>
        <v>50000</v>
      </c>
      <c r="BN47" s="91"/>
      <c r="BO47" s="91"/>
      <c r="BP47" s="68"/>
      <c r="BQ47" s="68">
        <f t="shared" si="31"/>
        <v>50000</v>
      </c>
      <c r="BR47" s="68"/>
      <c r="BS47" s="68"/>
      <c r="BT47" s="68"/>
      <c r="BU47" s="68">
        <v>50000</v>
      </c>
      <c r="BV47" s="31"/>
      <c r="BW47" s="32"/>
      <c r="BX47" s="27"/>
      <c r="BY47" s="32"/>
      <c r="BZ47" s="32"/>
      <c r="CA47" s="32">
        <f>BU47</f>
        <v>50000</v>
      </c>
      <c r="CB47" s="32"/>
      <c r="CC47" s="32"/>
      <c r="CD47" s="32"/>
      <c r="CE47" s="32"/>
      <c r="CF47" s="32"/>
      <c r="CG47" s="32">
        <f t="shared" si="44"/>
        <v>50000</v>
      </c>
    </row>
    <row r="48" spans="1:85" x14ac:dyDescent="0.5">
      <c r="A48" s="61">
        <v>42</v>
      </c>
      <c r="B48" s="81" t="s">
        <v>64</v>
      </c>
      <c r="C48" s="67">
        <v>181</v>
      </c>
      <c r="D48" s="68">
        <f>+'กระดาษทำการ 30 เม.ย.58'!BP50</f>
        <v>0</v>
      </c>
      <c r="E48" s="68">
        <f>+'กระดาษทำการ 30 เม.ย.58'!BQ50</f>
        <v>3528929</v>
      </c>
      <c r="F48" s="91"/>
      <c r="G48" s="91"/>
      <c r="H48" s="62"/>
      <c r="I48" s="68">
        <f t="shared" si="37"/>
        <v>3528929</v>
      </c>
      <c r="J48" s="91"/>
      <c r="K48" s="91"/>
      <c r="L48" s="68"/>
      <c r="M48" s="68">
        <f t="shared" si="38"/>
        <v>3528929</v>
      </c>
      <c r="N48" s="91"/>
      <c r="O48" s="91"/>
      <c r="P48" s="68"/>
      <c r="Q48" s="68">
        <f t="shared" si="33"/>
        <v>3528929</v>
      </c>
      <c r="R48" s="91"/>
      <c r="S48" s="91"/>
      <c r="T48" s="68"/>
      <c r="U48" s="68">
        <f t="shared" si="34"/>
        <v>3528929</v>
      </c>
      <c r="V48" s="91"/>
      <c r="W48" s="91"/>
      <c r="X48" s="68"/>
      <c r="Y48" s="68">
        <f t="shared" si="26"/>
        <v>3528929</v>
      </c>
      <c r="Z48" s="91"/>
      <c r="AA48" s="91"/>
      <c r="AB48" s="68"/>
      <c r="AC48" s="68">
        <f t="shared" si="35"/>
        <v>3528929</v>
      </c>
      <c r="AD48" s="91"/>
      <c r="AE48" s="91"/>
      <c r="AF48" s="68"/>
      <c r="AG48" s="68">
        <f t="shared" si="36"/>
        <v>3528929</v>
      </c>
      <c r="AH48" s="91"/>
      <c r="AI48" s="91"/>
      <c r="AJ48" s="68"/>
      <c r="AK48" s="68">
        <f t="shared" si="14"/>
        <v>3528929</v>
      </c>
      <c r="AL48" s="91"/>
      <c r="AM48" s="91"/>
      <c r="AN48" s="68"/>
      <c r="AO48" s="68">
        <f t="shared" si="39"/>
        <v>3528929</v>
      </c>
      <c r="AP48" s="91"/>
      <c r="AQ48" s="91"/>
      <c r="AR48" s="62">
        <f t="shared" si="40"/>
        <v>0</v>
      </c>
      <c r="AS48" s="68">
        <f t="shared" si="27"/>
        <v>3528929</v>
      </c>
      <c r="AT48" s="91"/>
      <c r="AU48" s="91"/>
      <c r="AV48" s="68"/>
      <c r="AW48" s="68">
        <f t="shared" si="41"/>
        <v>3528929</v>
      </c>
      <c r="AX48" s="91"/>
      <c r="AY48" s="91"/>
      <c r="AZ48" s="68"/>
      <c r="BA48" s="68">
        <f t="shared" si="42"/>
        <v>3528929</v>
      </c>
      <c r="BB48" s="91"/>
      <c r="BC48" s="91"/>
      <c r="BD48" s="68"/>
      <c r="BE48" s="68">
        <f t="shared" si="28"/>
        <v>3528929</v>
      </c>
      <c r="BF48" s="91"/>
      <c r="BG48" s="91"/>
      <c r="BH48" s="68"/>
      <c r="BI48" s="68">
        <f t="shared" si="29"/>
        <v>3528929</v>
      </c>
      <c r="BJ48" s="91"/>
      <c r="BK48" s="91"/>
      <c r="BL48" s="68"/>
      <c r="BM48" s="68">
        <f t="shared" si="30"/>
        <v>3528929</v>
      </c>
      <c r="BN48" s="91"/>
      <c r="BO48" s="91"/>
      <c r="BP48" s="68"/>
      <c r="BQ48" s="68">
        <f t="shared" si="31"/>
        <v>3528929</v>
      </c>
      <c r="BR48" s="68"/>
      <c r="BS48" s="68"/>
      <c r="BT48" s="68"/>
      <c r="BU48" s="68">
        <f t="shared" ref="BU48:BU56" si="45">E48+BS48-BR48</f>
        <v>3528929</v>
      </c>
      <c r="BV48" s="31"/>
      <c r="BW48" s="32"/>
      <c r="BX48" s="27"/>
      <c r="BY48" s="32"/>
      <c r="BZ48" s="32"/>
      <c r="CA48" s="32">
        <f t="shared" si="43"/>
        <v>3528929</v>
      </c>
      <c r="CB48" s="32"/>
      <c r="CC48" s="32"/>
      <c r="CD48" s="32"/>
      <c r="CE48" s="32"/>
      <c r="CF48" s="32"/>
      <c r="CG48" s="32">
        <f t="shared" si="44"/>
        <v>3528929</v>
      </c>
    </row>
    <row r="49" spans="1:85" s="139" customFormat="1" ht="24" x14ac:dyDescent="0.55000000000000004">
      <c r="A49" s="128">
        <v>43</v>
      </c>
      <c r="B49" s="129" t="s">
        <v>65</v>
      </c>
      <c r="C49" s="130">
        <v>191</v>
      </c>
      <c r="D49" s="131">
        <f>+'กระดาษทำการ 30 เม.ย.58'!BP51</f>
        <v>0</v>
      </c>
      <c r="E49" s="131">
        <f>+'กระดาษทำการ 30 เม.ย.58'!BQ51</f>
        <v>1118170</v>
      </c>
      <c r="F49" s="132"/>
      <c r="G49" s="132">
        <v>500</v>
      </c>
      <c r="H49" s="133"/>
      <c r="I49" s="131">
        <f>+E49-F49+G49</f>
        <v>1118670</v>
      </c>
      <c r="J49" s="132">
        <f>5200+1200</f>
        <v>6400</v>
      </c>
      <c r="K49" s="132"/>
      <c r="L49" s="131"/>
      <c r="M49" s="131">
        <f t="shared" si="38"/>
        <v>1112270</v>
      </c>
      <c r="N49" s="132">
        <v>1200</v>
      </c>
      <c r="O49" s="132">
        <f>750+16100</f>
        <v>16850</v>
      </c>
      <c r="P49" s="131"/>
      <c r="Q49" s="131">
        <f t="shared" si="33"/>
        <v>1127920</v>
      </c>
      <c r="R49" s="134">
        <v>100</v>
      </c>
      <c r="S49" s="134"/>
      <c r="T49" s="131"/>
      <c r="U49" s="131">
        <f t="shared" si="34"/>
        <v>1127820</v>
      </c>
      <c r="V49" s="135"/>
      <c r="W49" s="135"/>
      <c r="X49" s="131"/>
      <c r="Y49" s="131">
        <f t="shared" si="26"/>
        <v>1127820</v>
      </c>
      <c r="Z49" s="134">
        <f>700+950</f>
        <v>1650</v>
      </c>
      <c r="AA49" s="134">
        <v>4000</v>
      </c>
      <c r="AB49" s="131"/>
      <c r="AC49" s="131">
        <f t="shared" si="35"/>
        <v>1130170</v>
      </c>
      <c r="AD49" s="135"/>
      <c r="AE49" s="135">
        <f>500+1000</f>
        <v>1500</v>
      </c>
      <c r="AF49" s="131"/>
      <c r="AG49" s="131">
        <f t="shared" si="36"/>
        <v>1131670</v>
      </c>
      <c r="AH49" s="135"/>
      <c r="AI49" s="135"/>
      <c r="AJ49" s="131"/>
      <c r="AK49" s="131">
        <f t="shared" si="14"/>
        <v>1131670</v>
      </c>
      <c r="AL49" s="135"/>
      <c r="AM49" s="135">
        <f>13700+16100</f>
        <v>29800</v>
      </c>
      <c r="AN49" s="131"/>
      <c r="AO49" s="131">
        <f>+AK49+AM49-AL49</f>
        <v>1161470</v>
      </c>
      <c r="AP49" s="135"/>
      <c r="AQ49" s="135">
        <v>26500</v>
      </c>
      <c r="AR49" s="133">
        <v>0</v>
      </c>
      <c r="AS49" s="131">
        <f t="shared" si="27"/>
        <v>1187970</v>
      </c>
      <c r="AT49" s="134">
        <v>4750</v>
      </c>
      <c r="AU49" s="134">
        <f>15800+25150</f>
        <v>40950</v>
      </c>
      <c r="AV49" s="131"/>
      <c r="AW49" s="131">
        <f t="shared" si="41"/>
        <v>1224170</v>
      </c>
      <c r="AX49" s="135">
        <f>24450+2950+1100</f>
        <v>28500</v>
      </c>
      <c r="AY49" s="135">
        <f>32935+4000+8450</f>
        <v>45385</v>
      </c>
      <c r="AZ49" s="131"/>
      <c r="BA49" s="131">
        <f>+AW49+AY49-AX49</f>
        <v>1241055</v>
      </c>
      <c r="BB49" s="135">
        <v>21150</v>
      </c>
      <c r="BC49" s="135"/>
      <c r="BD49" s="131"/>
      <c r="BE49" s="131">
        <f t="shared" si="28"/>
        <v>1219905</v>
      </c>
      <c r="BF49" s="135"/>
      <c r="BG49" s="135"/>
      <c r="BH49" s="131"/>
      <c r="BI49" s="131">
        <f t="shared" si="29"/>
        <v>1219905</v>
      </c>
      <c r="BJ49" s="135"/>
      <c r="BK49" s="135"/>
      <c r="BL49" s="131"/>
      <c r="BM49" s="131">
        <f t="shared" si="30"/>
        <v>1219905</v>
      </c>
      <c r="BN49" s="135"/>
      <c r="BO49" s="135">
        <v>14950</v>
      </c>
      <c r="BP49" s="131"/>
      <c r="BQ49" s="131">
        <f t="shared" si="31"/>
        <v>1234855</v>
      </c>
      <c r="BR49" s="131"/>
      <c r="BS49" s="131"/>
      <c r="BT49" s="131"/>
      <c r="BU49" s="131">
        <f t="shared" si="45"/>
        <v>1118170</v>
      </c>
      <c r="BV49" s="136"/>
      <c r="BW49" s="137"/>
      <c r="BX49" s="138">
        <v>6</v>
      </c>
      <c r="BY49" s="137">
        <v>796</v>
      </c>
      <c r="BZ49" s="137"/>
      <c r="CA49" s="137">
        <f>BU49+BY49-BW49</f>
        <v>1118966</v>
      </c>
      <c r="CB49" s="137"/>
      <c r="CC49" s="137"/>
      <c r="CD49" s="137"/>
      <c r="CE49" s="137"/>
      <c r="CF49" s="137"/>
      <c r="CG49" s="137">
        <f>CA49</f>
        <v>1118966</v>
      </c>
    </row>
    <row r="50" spans="1:85" x14ac:dyDescent="0.5">
      <c r="A50" s="61">
        <v>44</v>
      </c>
      <c r="B50" s="81" t="s">
        <v>22</v>
      </c>
      <c r="C50" s="67">
        <v>197</v>
      </c>
      <c r="D50" s="68">
        <f>+'กระดาษทำการ 30 เม.ย.58'!BP52</f>
        <v>0</v>
      </c>
      <c r="E50" s="68">
        <f>+'กระดาษทำการ 30 เม.ย.58'!BQ52</f>
        <v>0</v>
      </c>
      <c r="F50" s="91"/>
      <c r="G50" s="91"/>
      <c r="H50" s="68"/>
      <c r="I50" s="68">
        <f t="shared" si="37"/>
        <v>0</v>
      </c>
      <c r="J50" s="91"/>
      <c r="K50" s="91"/>
      <c r="L50" s="68"/>
      <c r="M50" s="68">
        <f t="shared" si="38"/>
        <v>0</v>
      </c>
      <c r="N50" s="91"/>
      <c r="O50" s="91"/>
      <c r="P50" s="68"/>
      <c r="Q50" s="68">
        <f t="shared" si="33"/>
        <v>0</v>
      </c>
      <c r="R50" s="91"/>
      <c r="S50" s="91"/>
      <c r="T50" s="68"/>
      <c r="U50" s="68">
        <f t="shared" si="34"/>
        <v>0</v>
      </c>
      <c r="V50" s="91"/>
      <c r="W50" s="91"/>
      <c r="X50" s="68"/>
      <c r="Y50" s="68">
        <f t="shared" si="26"/>
        <v>0</v>
      </c>
      <c r="Z50" s="91"/>
      <c r="AA50" s="91"/>
      <c r="AB50" s="68"/>
      <c r="AC50" s="68">
        <f>+Y50+AA50-Z50</f>
        <v>0</v>
      </c>
      <c r="AD50" s="91"/>
      <c r="AE50" s="91"/>
      <c r="AF50" s="68"/>
      <c r="AG50" s="68">
        <f>+AC50+AE50-AD50</f>
        <v>0</v>
      </c>
      <c r="AH50" s="91"/>
      <c r="AI50" s="91"/>
      <c r="AJ50" s="68"/>
      <c r="AK50" s="68">
        <f t="shared" si="14"/>
        <v>0</v>
      </c>
      <c r="AL50" s="91"/>
      <c r="AM50" s="91"/>
      <c r="AN50" s="68"/>
      <c r="AO50" s="68">
        <f t="shared" ref="AO50:AO61" si="46">+AK50+AM50-AL50</f>
        <v>0</v>
      </c>
      <c r="AP50" s="91"/>
      <c r="AQ50" s="91"/>
      <c r="AR50" s="68">
        <f t="shared" si="40"/>
        <v>0</v>
      </c>
      <c r="AS50" s="68">
        <f t="shared" si="27"/>
        <v>0</v>
      </c>
      <c r="AT50" s="91"/>
      <c r="AU50" s="91"/>
      <c r="AV50" s="68"/>
      <c r="AW50" s="68">
        <f>+AS50+AU50-AT50</f>
        <v>0</v>
      </c>
      <c r="AX50" s="91"/>
      <c r="AY50" s="91"/>
      <c r="AZ50" s="68"/>
      <c r="BA50" s="68">
        <f>+AW50+AY50-AX50</f>
        <v>0</v>
      </c>
      <c r="BB50" s="91"/>
      <c r="BC50" s="91"/>
      <c r="BD50" s="68"/>
      <c r="BE50" s="68">
        <f t="shared" si="28"/>
        <v>0</v>
      </c>
      <c r="BF50" s="91"/>
      <c r="BG50" s="91"/>
      <c r="BH50" s="68"/>
      <c r="BI50" s="68">
        <f t="shared" si="29"/>
        <v>0</v>
      </c>
      <c r="BJ50" s="91"/>
      <c r="BK50" s="91"/>
      <c r="BL50" s="68"/>
      <c r="BM50" s="68">
        <f t="shared" si="30"/>
        <v>0</v>
      </c>
      <c r="BN50" s="91"/>
      <c r="BO50" s="91"/>
      <c r="BP50" s="68"/>
      <c r="BQ50" s="68">
        <f t="shared" si="31"/>
        <v>0</v>
      </c>
      <c r="BR50" s="68"/>
      <c r="BS50" s="68"/>
      <c r="BT50" s="68"/>
      <c r="BU50" s="68">
        <f t="shared" si="45"/>
        <v>0</v>
      </c>
      <c r="BV50" s="31"/>
      <c r="BW50" s="32"/>
      <c r="BX50" s="27"/>
      <c r="BY50" s="32"/>
      <c r="BZ50" s="32"/>
      <c r="CA50" s="32">
        <f>BU50+BY50-BW50</f>
        <v>0</v>
      </c>
      <c r="CB50" s="32"/>
      <c r="CC50" s="32"/>
      <c r="CD50" s="32"/>
      <c r="CE50" s="32"/>
      <c r="CF50" s="32"/>
      <c r="CG50" s="32">
        <f>CA50</f>
        <v>0</v>
      </c>
    </row>
    <row r="51" spans="1:85" x14ac:dyDescent="0.5">
      <c r="A51" s="61">
        <v>45</v>
      </c>
      <c r="B51" s="81" t="s">
        <v>4</v>
      </c>
      <c r="C51" s="67">
        <v>201</v>
      </c>
      <c r="D51" s="68">
        <f>+'กระดาษทำการ 30 เม.ย.58'!BP53</f>
        <v>0</v>
      </c>
      <c r="E51" s="68">
        <f>+'กระดาษทำการ 30 เม.ย.58'!BQ53</f>
        <v>58285</v>
      </c>
      <c r="F51" s="91"/>
      <c r="G51" s="91"/>
      <c r="H51" s="68"/>
      <c r="I51" s="68">
        <f t="shared" si="37"/>
        <v>58285</v>
      </c>
      <c r="J51" s="91"/>
      <c r="K51" s="91"/>
      <c r="L51" s="68"/>
      <c r="M51" s="68">
        <f t="shared" si="38"/>
        <v>58285</v>
      </c>
      <c r="N51" s="91"/>
      <c r="O51" s="91"/>
      <c r="P51" s="68"/>
      <c r="Q51" s="68">
        <f t="shared" si="33"/>
        <v>58285</v>
      </c>
      <c r="R51" s="91"/>
      <c r="S51" s="91"/>
      <c r="T51" s="68"/>
      <c r="U51" s="68">
        <f t="shared" si="34"/>
        <v>58285</v>
      </c>
      <c r="V51" s="91"/>
      <c r="W51" s="91"/>
      <c r="X51" s="68"/>
      <c r="Y51" s="68">
        <f t="shared" si="26"/>
        <v>58285</v>
      </c>
      <c r="Z51" s="91"/>
      <c r="AA51" s="91"/>
      <c r="AB51" s="68"/>
      <c r="AC51" s="68">
        <f t="shared" si="35"/>
        <v>58285</v>
      </c>
      <c r="AD51" s="91"/>
      <c r="AE51" s="91"/>
      <c r="AF51" s="68"/>
      <c r="AG51" s="68">
        <f t="shared" si="36"/>
        <v>58285</v>
      </c>
      <c r="AH51" s="91"/>
      <c r="AI51" s="91"/>
      <c r="AJ51" s="68"/>
      <c r="AK51" s="68">
        <f t="shared" si="14"/>
        <v>58285</v>
      </c>
      <c r="AL51" s="91"/>
      <c r="AM51" s="91"/>
      <c r="AN51" s="68"/>
      <c r="AO51" s="68">
        <f t="shared" si="46"/>
        <v>58285</v>
      </c>
      <c r="AP51" s="91"/>
      <c r="AQ51" s="91"/>
      <c r="AR51" s="62">
        <f t="shared" si="40"/>
        <v>0</v>
      </c>
      <c r="AS51" s="68">
        <f t="shared" si="27"/>
        <v>58285</v>
      </c>
      <c r="AT51" s="91"/>
      <c r="AU51" s="91"/>
      <c r="AV51" s="68"/>
      <c r="AW51" s="68">
        <f t="shared" si="41"/>
        <v>58285</v>
      </c>
      <c r="AX51" s="91"/>
      <c r="AY51" s="91"/>
      <c r="AZ51" s="68"/>
      <c r="BA51" s="68">
        <f>+AW51+AY51-AX51</f>
        <v>58285</v>
      </c>
      <c r="BB51" s="91"/>
      <c r="BC51" s="91"/>
      <c r="BD51" s="68"/>
      <c r="BE51" s="68">
        <f t="shared" si="28"/>
        <v>58285</v>
      </c>
      <c r="BF51" s="91"/>
      <c r="BG51" s="91"/>
      <c r="BH51" s="68"/>
      <c r="BI51" s="68">
        <f t="shared" si="29"/>
        <v>58285</v>
      </c>
      <c r="BJ51" s="91"/>
      <c r="BK51" s="91"/>
      <c r="BL51" s="68"/>
      <c r="BM51" s="68">
        <f t="shared" si="30"/>
        <v>58285</v>
      </c>
      <c r="BN51" s="91"/>
      <c r="BO51" s="91"/>
      <c r="BP51" s="68"/>
      <c r="BQ51" s="68">
        <f t="shared" si="31"/>
        <v>58285</v>
      </c>
      <c r="BR51" s="68"/>
      <c r="BS51" s="68"/>
      <c r="BT51" s="68"/>
      <c r="BU51" s="68">
        <f t="shared" si="45"/>
        <v>58285</v>
      </c>
      <c r="BV51" s="31"/>
      <c r="BW51" s="32"/>
      <c r="BX51" s="27"/>
      <c r="BY51" s="32"/>
      <c r="BZ51" s="32"/>
      <c r="CA51" s="32">
        <f>BU51+BY51-BW51</f>
        <v>58285</v>
      </c>
      <c r="CB51" s="32"/>
      <c r="CC51" s="32"/>
      <c r="CD51" s="32"/>
      <c r="CE51" s="32"/>
      <c r="CF51" s="32"/>
      <c r="CG51" s="32">
        <f>CA51</f>
        <v>58285</v>
      </c>
    </row>
    <row r="52" spans="1:85" x14ac:dyDescent="0.5">
      <c r="A52" s="61">
        <v>46</v>
      </c>
      <c r="B52" s="81" t="s">
        <v>3</v>
      </c>
      <c r="C52" s="67">
        <v>205</v>
      </c>
      <c r="D52" s="68">
        <f>+'กระดาษทำการ 30 เม.ย.58'!BP54</f>
        <v>0</v>
      </c>
      <c r="E52" s="68">
        <f>+'กระดาษทำการ 30 เม.ย.58'!BQ54</f>
        <v>48650</v>
      </c>
      <c r="F52" s="91"/>
      <c r="G52" s="91"/>
      <c r="H52" s="62"/>
      <c r="I52" s="68">
        <f t="shared" si="37"/>
        <v>48650</v>
      </c>
      <c r="J52" s="91"/>
      <c r="K52" s="91"/>
      <c r="L52" s="68"/>
      <c r="M52" s="68">
        <f t="shared" si="38"/>
        <v>48650</v>
      </c>
      <c r="N52" s="91"/>
      <c r="O52" s="91"/>
      <c r="P52" s="68"/>
      <c r="Q52" s="68">
        <f t="shared" si="33"/>
        <v>48650</v>
      </c>
      <c r="R52" s="91"/>
      <c r="S52" s="91"/>
      <c r="T52" s="68"/>
      <c r="U52" s="68">
        <f t="shared" si="34"/>
        <v>48650</v>
      </c>
      <c r="V52" s="91"/>
      <c r="W52" s="91"/>
      <c r="X52" s="68"/>
      <c r="Y52" s="68">
        <f t="shared" si="26"/>
        <v>48650</v>
      </c>
      <c r="Z52" s="91"/>
      <c r="AA52" s="91"/>
      <c r="AB52" s="68"/>
      <c r="AC52" s="68">
        <f t="shared" si="35"/>
        <v>48650</v>
      </c>
      <c r="AD52" s="91"/>
      <c r="AE52" s="91"/>
      <c r="AF52" s="68"/>
      <c r="AG52" s="68">
        <f t="shared" si="36"/>
        <v>48650</v>
      </c>
      <c r="AH52" s="91"/>
      <c r="AI52" s="91"/>
      <c r="AJ52" s="68"/>
      <c r="AK52" s="68">
        <f t="shared" si="14"/>
        <v>48650</v>
      </c>
      <c r="AL52" s="91"/>
      <c r="AM52" s="91"/>
      <c r="AN52" s="68"/>
      <c r="AO52" s="68">
        <f t="shared" si="46"/>
        <v>48650</v>
      </c>
      <c r="AP52" s="91"/>
      <c r="AQ52" s="91"/>
      <c r="AR52" s="62">
        <f t="shared" si="40"/>
        <v>0</v>
      </c>
      <c r="AS52" s="68">
        <f t="shared" si="27"/>
        <v>48650</v>
      </c>
      <c r="AT52" s="91"/>
      <c r="AU52" s="91"/>
      <c r="AV52" s="68"/>
      <c r="AW52" s="68">
        <f t="shared" si="41"/>
        <v>48650</v>
      </c>
      <c r="AX52" s="91"/>
      <c r="AY52" s="117"/>
      <c r="AZ52" s="68"/>
      <c r="BA52" s="68">
        <f>+AW52+AY52-AX52</f>
        <v>48650</v>
      </c>
      <c r="BB52" s="91"/>
      <c r="BC52" s="117"/>
      <c r="BD52" s="68"/>
      <c r="BE52" s="68">
        <f t="shared" si="28"/>
        <v>48650</v>
      </c>
      <c r="BF52" s="91"/>
      <c r="BG52" s="117"/>
      <c r="BH52" s="68"/>
      <c r="BI52" s="68">
        <f t="shared" si="29"/>
        <v>48650</v>
      </c>
      <c r="BJ52" s="91"/>
      <c r="BK52" s="117"/>
      <c r="BL52" s="68"/>
      <c r="BM52" s="68">
        <f t="shared" si="30"/>
        <v>48650</v>
      </c>
      <c r="BN52" s="91"/>
      <c r="BO52" s="117"/>
      <c r="BP52" s="68"/>
      <c r="BQ52" s="68">
        <f t="shared" si="31"/>
        <v>48650</v>
      </c>
      <c r="BR52" s="68"/>
      <c r="BS52" s="68"/>
      <c r="BT52" s="68"/>
      <c r="BU52" s="68">
        <f t="shared" si="45"/>
        <v>48650</v>
      </c>
      <c r="BV52" s="31"/>
      <c r="BW52" s="32"/>
      <c r="BX52" s="27"/>
      <c r="BY52" s="32"/>
      <c r="BZ52" s="32"/>
      <c r="CA52" s="32">
        <f>BU52+BY52-BW52</f>
        <v>48650</v>
      </c>
      <c r="CB52" s="32"/>
      <c r="CC52" s="32"/>
      <c r="CD52" s="32"/>
      <c r="CE52" s="32"/>
      <c r="CF52" s="32"/>
      <c r="CG52" s="32">
        <f>CA52</f>
        <v>48650</v>
      </c>
    </row>
    <row r="53" spans="1:85" x14ac:dyDescent="0.5">
      <c r="A53" s="61">
        <v>47</v>
      </c>
      <c r="B53" s="81" t="s">
        <v>66</v>
      </c>
      <c r="C53" s="67">
        <v>209</v>
      </c>
      <c r="D53" s="68">
        <f>+'กระดาษทำการ 30 เม.ย.58'!BP55</f>
        <v>0</v>
      </c>
      <c r="E53" s="68">
        <f>+'กระดาษทำการ 30 เม.ย.58'!BQ55</f>
        <v>9272</v>
      </c>
      <c r="F53" s="91"/>
      <c r="G53" s="91"/>
      <c r="H53" s="68"/>
      <c r="I53" s="68">
        <f t="shared" si="37"/>
        <v>9272</v>
      </c>
      <c r="J53" s="91"/>
      <c r="K53" s="91"/>
      <c r="L53" s="68"/>
      <c r="M53" s="68">
        <f t="shared" si="38"/>
        <v>9272</v>
      </c>
      <c r="N53" s="91"/>
      <c r="O53" s="91"/>
      <c r="P53" s="68"/>
      <c r="Q53" s="68">
        <f t="shared" si="33"/>
        <v>9272</v>
      </c>
      <c r="R53" s="91"/>
      <c r="S53" s="91"/>
      <c r="T53" s="68"/>
      <c r="U53" s="68">
        <f t="shared" si="34"/>
        <v>9272</v>
      </c>
      <c r="V53" s="91"/>
      <c r="W53" s="91"/>
      <c r="X53" s="68"/>
      <c r="Y53" s="68">
        <f t="shared" si="26"/>
        <v>9272</v>
      </c>
      <c r="Z53" s="91"/>
      <c r="AA53" s="91"/>
      <c r="AB53" s="68"/>
      <c r="AC53" s="68">
        <f t="shared" si="35"/>
        <v>9272</v>
      </c>
      <c r="AD53" s="91"/>
      <c r="AE53" s="91"/>
      <c r="AF53" s="68"/>
      <c r="AG53" s="68">
        <f t="shared" si="36"/>
        <v>9272</v>
      </c>
      <c r="AH53" s="91"/>
      <c r="AI53" s="91"/>
      <c r="AJ53" s="68"/>
      <c r="AK53" s="68">
        <f t="shared" si="14"/>
        <v>9272</v>
      </c>
      <c r="AL53" s="91"/>
      <c r="AM53" s="91"/>
      <c r="AN53" s="68"/>
      <c r="AO53" s="68">
        <f>+AK53+AM53-AL53</f>
        <v>9272</v>
      </c>
      <c r="AP53" s="91"/>
      <c r="AQ53" s="91"/>
      <c r="AR53" s="68">
        <f t="shared" si="40"/>
        <v>0</v>
      </c>
      <c r="AS53" s="68">
        <f t="shared" si="27"/>
        <v>9272</v>
      </c>
      <c r="AT53" s="91"/>
      <c r="AU53" s="91"/>
      <c r="AV53" s="68"/>
      <c r="AW53" s="68">
        <f t="shared" si="41"/>
        <v>9272</v>
      </c>
      <c r="AX53" s="91"/>
      <c r="AY53" s="117"/>
      <c r="AZ53" s="68"/>
      <c r="BA53" s="68">
        <f t="shared" ref="BA53:BA56" si="47">+AW53+AY53-AX53</f>
        <v>9272</v>
      </c>
      <c r="BB53" s="91"/>
      <c r="BC53" s="117"/>
      <c r="BD53" s="68"/>
      <c r="BE53" s="68">
        <f t="shared" si="28"/>
        <v>9272</v>
      </c>
      <c r="BF53" s="91">
        <v>1000</v>
      </c>
      <c r="BG53" s="117">
        <v>900</v>
      </c>
      <c r="BH53" s="68"/>
      <c r="BI53" s="68">
        <f t="shared" si="29"/>
        <v>9172</v>
      </c>
      <c r="BJ53" s="91"/>
      <c r="BK53" s="117"/>
      <c r="BL53" s="68"/>
      <c r="BM53" s="68">
        <f t="shared" si="30"/>
        <v>9172</v>
      </c>
      <c r="BN53" s="91"/>
      <c r="BO53" s="117"/>
      <c r="BP53" s="68"/>
      <c r="BQ53" s="68">
        <f t="shared" si="31"/>
        <v>9172</v>
      </c>
      <c r="BR53" s="68"/>
      <c r="BS53" s="68"/>
      <c r="BT53" s="68"/>
      <c r="BU53" s="68">
        <f t="shared" si="45"/>
        <v>9272</v>
      </c>
      <c r="BV53" s="31"/>
      <c r="BW53" s="32"/>
      <c r="BX53" s="27"/>
      <c r="BY53" s="32"/>
      <c r="BZ53" s="32"/>
      <c r="CA53" s="32">
        <f>BU53+BY53-BW53</f>
        <v>9272</v>
      </c>
      <c r="CB53" s="32"/>
      <c r="CC53" s="32"/>
      <c r="CD53" s="32"/>
      <c r="CE53" s="32"/>
      <c r="CF53" s="32"/>
      <c r="CG53" s="32">
        <f>CA53</f>
        <v>9272</v>
      </c>
    </row>
    <row r="54" spans="1:85" ht="24" x14ac:dyDescent="0.55000000000000004">
      <c r="A54" s="67">
        <v>48</v>
      </c>
      <c r="B54" s="81" t="s">
        <v>13</v>
      </c>
      <c r="C54" s="67">
        <v>223</v>
      </c>
      <c r="D54" s="68">
        <f>+'กระดาษทำการ 30 เม.ย.58'!BP57</f>
        <v>0</v>
      </c>
      <c r="E54" s="68">
        <f>+'กระดาษทำการ 30 เม.ย.58'!BQ57</f>
        <v>0</v>
      </c>
      <c r="F54" s="91"/>
      <c r="G54" s="91"/>
      <c r="H54" s="68">
        <f t="shared" si="0"/>
        <v>0</v>
      </c>
      <c r="I54" s="68"/>
      <c r="J54" s="119"/>
      <c r="K54" s="119">
        <v>126.58</v>
      </c>
      <c r="L54" s="68"/>
      <c r="M54" s="68">
        <f t="shared" si="38"/>
        <v>126.58</v>
      </c>
      <c r="N54" s="119"/>
      <c r="O54" s="119">
        <v>9335.94</v>
      </c>
      <c r="P54" s="68"/>
      <c r="Q54" s="68">
        <f t="shared" si="33"/>
        <v>9462.52</v>
      </c>
      <c r="R54" s="91"/>
      <c r="S54" s="91"/>
      <c r="T54" s="68"/>
      <c r="U54" s="68">
        <f t="shared" si="34"/>
        <v>9462.52</v>
      </c>
      <c r="V54" s="91"/>
      <c r="W54" s="91"/>
      <c r="X54" s="68"/>
      <c r="Y54" s="68">
        <f t="shared" si="26"/>
        <v>9462.52</v>
      </c>
      <c r="Z54" s="92"/>
      <c r="AA54" s="92">
        <v>3089.61</v>
      </c>
      <c r="AB54" s="68"/>
      <c r="AC54" s="68">
        <f t="shared" si="35"/>
        <v>12552.130000000001</v>
      </c>
      <c r="AD54" s="91"/>
      <c r="AE54" s="91">
        <f>349.04+349.04+1199.23</f>
        <v>1897.31</v>
      </c>
      <c r="AF54" s="68"/>
      <c r="AG54" s="68">
        <f t="shared" si="36"/>
        <v>14449.44</v>
      </c>
      <c r="AH54" s="91"/>
      <c r="AI54" s="91"/>
      <c r="AJ54" s="68"/>
      <c r="AK54" s="68">
        <f t="shared" si="14"/>
        <v>14449.44</v>
      </c>
      <c r="AL54" s="91"/>
      <c r="AM54" s="91">
        <f>1788.17+4079.96+4423.79+11146.8+357.46</f>
        <v>21796.18</v>
      </c>
      <c r="AN54" s="68"/>
      <c r="AO54" s="68">
        <f>+AK54+AM54-AL54</f>
        <v>36245.620000000003</v>
      </c>
      <c r="AP54" s="91"/>
      <c r="AQ54" s="91">
        <v>27207.16</v>
      </c>
      <c r="AR54" s="68">
        <v>0</v>
      </c>
      <c r="AS54" s="68">
        <f t="shared" si="27"/>
        <v>63452.78</v>
      </c>
      <c r="AT54" s="92"/>
      <c r="AU54" s="92">
        <f>16920.76+25012.89</f>
        <v>41933.649999999994</v>
      </c>
      <c r="AV54" s="68"/>
      <c r="AW54" s="68">
        <f t="shared" si="41"/>
        <v>105386.43</v>
      </c>
      <c r="AX54" s="91"/>
      <c r="AY54" s="91">
        <f>5449.18+38603.66+932.78+2225.64+15003.2+5322.93</f>
        <v>67537.390000000014</v>
      </c>
      <c r="AZ54" s="68"/>
      <c r="BA54" s="68">
        <f t="shared" si="47"/>
        <v>172923.82</v>
      </c>
      <c r="BB54" s="91"/>
      <c r="BC54" s="91">
        <v>1312.43</v>
      </c>
      <c r="BD54" s="68"/>
      <c r="BE54" s="68">
        <f t="shared" si="28"/>
        <v>174236.25</v>
      </c>
      <c r="BF54" s="91"/>
      <c r="BG54" s="91"/>
      <c r="BH54" s="68"/>
      <c r="BI54" s="68">
        <f t="shared" si="29"/>
        <v>174236.25</v>
      </c>
      <c r="BJ54" s="91"/>
      <c r="BK54" s="91"/>
      <c r="BL54" s="68"/>
      <c r="BM54" s="68">
        <f t="shared" si="30"/>
        <v>174236.25</v>
      </c>
      <c r="BN54" s="91"/>
      <c r="BO54" s="91">
        <v>3047.33</v>
      </c>
      <c r="BP54" s="68"/>
      <c r="BQ54" s="68">
        <f t="shared" si="31"/>
        <v>177283.58</v>
      </c>
      <c r="BR54" s="68"/>
      <c r="BS54" s="68"/>
      <c r="BT54" s="68"/>
      <c r="BU54" s="68">
        <f t="shared" si="45"/>
        <v>0</v>
      </c>
      <c r="BV54" s="31"/>
      <c r="BW54" s="32"/>
      <c r="BX54" s="27">
        <v>18</v>
      </c>
      <c r="BY54" s="32">
        <v>185752.74</v>
      </c>
      <c r="BZ54" s="32"/>
      <c r="CA54" s="32">
        <f t="shared" ref="CA54:CA78" si="48">BU54+BY54-BW54</f>
        <v>185752.74</v>
      </c>
      <c r="CB54" s="32"/>
      <c r="CC54" s="32"/>
      <c r="CD54" s="32"/>
      <c r="CE54" s="32">
        <f>CA54</f>
        <v>185752.74</v>
      </c>
      <c r="CF54" s="32"/>
      <c r="CG54" s="32"/>
    </row>
    <row r="55" spans="1:85" x14ac:dyDescent="0.5">
      <c r="A55" s="61">
        <v>49</v>
      </c>
      <c r="B55" s="81" t="s">
        <v>67</v>
      </c>
      <c r="C55" s="67">
        <v>243</v>
      </c>
      <c r="D55" s="68">
        <f>+'กระดาษทำการ 30 เม.ย.58'!BP58</f>
        <v>0</v>
      </c>
      <c r="E55" s="68">
        <f>+'กระดาษทำการ 30 เม.ย.58'!BQ58</f>
        <v>0</v>
      </c>
      <c r="F55" s="91"/>
      <c r="G55" s="91"/>
      <c r="H55" s="62">
        <f t="shared" si="0"/>
        <v>0</v>
      </c>
      <c r="I55" s="68"/>
      <c r="J55" s="119"/>
      <c r="K55" s="119">
        <v>54.25</v>
      </c>
      <c r="L55" s="68"/>
      <c r="M55" s="68">
        <f t="shared" si="38"/>
        <v>54.25</v>
      </c>
      <c r="N55" s="91"/>
      <c r="O55" s="91"/>
      <c r="P55" s="68"/>
      <c r="Q55" s="68">
        <f t="shared" si="33"/>
        <v>54.25</v>
      </c>
      <c r="R55" s="91"/>
      <c r="S55" s="91"/>
      <c r="T55" s="68"/>
      <c r="U55" s="68">
        <f t="shared" si="34"/>
        <v>54.25</v>
      </c>
      <c r="V55" s="91"/>
      <c r="W55" s="91"/>
      <c r="X55" s="68"/>
      <c r="Y55" s="68">
        <f t="shared" si="26"/>
        <v>54.25</v>
      </c>
      <c r="Z55" s="91"/>
      <c r="AA55" s="91"/>
      <c r="AB55" s="68"/>
      <c r="AC55" s="68">
        <f>+Y55+AA55-Z55</f>
        <v>54.25</v>
      </c>
      <c r="AD55" s="91"/>
      <c r="AE55" s="91">
        <f>3.28+4.1</f>
        <v>7.379999999999999</v>
      </c>
      <c r="AF55" s="68"/>
      <c r="AG55" s="68">
        <f t="shared" si="36"/>
        <v>61.629999999999995</v>
      </c>
      <c r="AH55" s="91"/>
      <c r="AI55" s="91"/>
      <c r="AJ55" s="68"/>
      <c r="AK55" s="68">
        <f t="shared" si="14"/>
        <v>61.629999999999995</v>
      </c>
      <c r="AL55" s="91"/>
      <c r="AM55" s="91"/>
      <c r="AN55" s="68"/>
      <c r="AO55" s="68">
        <f t="shared" si="46"/>
        <v>61.629999999999995</v>
      </c>
      <c r="AP55" s="91"/>
      <c r="AQ55" s="91"/>
      <c r="AR55" s="62">
        <f t="shared" si="40"/>
        <v>0</v>
      </c>
      <c r="AS55" s="68">
        <f t="shared" si="27"/>
        <v>61.629999999999995</v>
      </c>
      <c r="AT55" s="91"/>
      <c r="AU55" s="91"/>
      <c r="AV55" s="68"/>
      <c r="AW55" s="68">
        <f t="shared" si="41"/>
        <v>61.629999999999995</v>
      </c>
      <c r="AX55" s="91"/>
      <c r="AY55" s="91">
        <f>866.59+448.77</f>
        <v>1315.3600000000001</v>
      </c>
      <c r="AZ55" s="68"/>
      <c r="BA55" s="68">
        <f t="shared" si="47"/>
        <v>1376.9900000000002</v>
      </c>
      <c r="BB55" s="91"/>
      <c r="BC55" s="91">
        <v>86.17</v>
      </c>
      <c r="BD55" s="68"/>
      <c r="BE55" s="68">
        <f t="shared" si="28"/>
        <v>1463.1600000000003</v>
      </c>
      <c r="BF55" s="91"/>
      <c r="BG55" s="91"/>
      <c r="BH55" s="68"/>
      <c r="BI55" s="68">
        <f t="shared" si="29"/>
        <v>1463.1600000000003</v>
      </c>
      <c r="BJ55" s="91"/>
      <c r="BK55" s="91"/>
      <c r="BL55" s="68"/>
      <c r="BM55" s="68">
        <f t="shared" si="30"/>
        <v>1463.1600000000003</v>
      </c>
      <c r="BN55" s="91"/>
      <c r="BO55" s="91"/>
      <c r="BP55" s="68"/>
      <c r="BQ55" s="68">
        <f t="shared" si="31"/>
        <v>1463.1600000000003</v>
      </c>
      <c r="BR55" s="68"/>
      <c r="BS55" s="68"/>
      <c r="BT55" s="68"/>
      <c r="BU55" s="68">
        <f t="shared" si="45"/>
        <v>0</v>
      </c>
      <c r="BV55" s="31"/>
      <c r="BW55" s="32"/>
      <c r="BX55" s="27">
        <v>19</v>
      </c>
      <c r="BY55" s="32">
        <f>50290.89+5962.31</f>
        <v>56253.2</v>
      </c>
      <c r="BZ55" s="32"/>
      <c r="CA55" s="32">
        <f t="shared" si="48"/>
        <v>56253.2</v>
      </c>
      <c r="CB55" s="32"/>
      <c r="CC55" s="32"/>
      <c r="CD55" s="32"/>
      <c r="CE55" s="32">
        <f t="shared" ref="CE55:CE62" si="49">CA55</f>
        <v>56253.2</v>
      </c>
      <c r="CF55" s="32"/>
      <c r="CG55" s="32"/>
    </row>
    <row r="56" spans="1:85" x14ac:dyDescent="0.5">
      <c r="A56" s="61">
        <v>50</v>
      </c>
      <c r="B56" s="81" t="s">
        <v>12</v>
      </c>
      <c r="C56" s="67">
        <v>252</v>
      </c>
      <c r="D56" s="68">
        <f>+'กระดาษทำการ 30 เม.ย.58'!BP59</f>
        <v>0</v>
      </c>
      <c r="E56" s="68">
        <f>+'กระดาษทำการ 30 เม.ย.58'!BQ59</f>
        <v>0</v>
      </c>
      <c r="F56" s="91"/>
      <c r="G56" s="91">
        <f>3500+4415</f>
        <v>7915</v>
      </c>
      <c r="H56" s="62"/>
      <c r="I56" s="68">
        <f>+G56</f>
        <v>7915</v>
      </c>
      <c r="J56" s="91"/>
      <c r="K56" s="91">
        <v>32165</v>
      </c>
      <c r="L56" s="68"/>
      <c r="M56" s="68">
        <f t="shared" si="38"/>
        <v>40080</v>
      </c>
      <c r="N56" s="91"/>
      <c r="O56" s="91">
        <v>8840</v>
      </c>
      <c r="P56" s="68"/>
      <c r="Q56" s="68">
        <f t="shared" si="33"/>
        <v>48920</v>
      </c>
      <c r="R56" s="91"/>
      <c r="S56" s="91">
        <v>13955</v>
      </c>
      <c r="T56" s="68"/>
      <c r="U56" s="68">
        <f t="shared" si="34"/>
        <v>62875</v>
      </c>
      <c r="V56" s="91"/>
      <c r="W56" s="91"/>
      <c r="X56" s="68"/>
      <c r="Y56" s="68">
        <f t="shared" si="26"/>
        <v>62875</v>
      </c>
      <c r="Z56" s="91"/>
      <c r="AA56" s="91">
        <v>17205</v>
      </c>
      <c r="AB56" s="68"/>
      <c r="AC56" s="68">
        <f t="shared" si="35"/>
        <v>80080</v>
      </c>
      <c r="AD56" s="91"/>
      <c r="AE56" s="91">
        <f>26865+5200+15970</f>
        <v>48035</v>
      </c>
      <c r="AF56" s="68"/>
      <c r="AG56" s="68">
        <f>+AC56+AE56-AD56</f>
        <v>128115</v>
      </c>
      <c r="AH56" s="91"/>
      <c r="AI56" s="91">
        <v>30150</v>
      </c>
      <c r="AJ56" s="68"/>
      <c r="AK56" s="68">
        <f t="shared" si="14"/>
        <v>158265</v>
      </c>
      <c r="AL56" s="91"/>
      <c r="AM56" s="91">
        <f>8250+10000</f>
        <v>18250</v>
      </c>
      <c r="AN56" s="68"/>
      <c r="AO56" s="68">
        <f t="shared" si="46"/>
        <v>176515</v>
      </c>
      <c r="AP56" s="91"/>
      <c r="AQ56" s="91">
        <v>13060</v>
      </c>
      <c r="AR56" s="62">
        <v>0</v>
      </c>
      <c r="AS56" s="68">
        <f t="shared" si="27"/>
        <v>189575</v>
      </c>
      <c r="AT56" s="91"/>
      <c r="AU56" s="91"/>
      <c r="AV56" s="68"/>
      <c r="AW56" s="68">
        <f t="shared" si="41"/>
        <v>189575</v>
      </c>
      <c r="AX56" s="91"/>
      <c r="AY56" s="91">
        <v>31900</v>
      </c>
      <c r="AZ56" s="68"/>
      <c r="BA56" s="68">
        <f t="shared" si="47"/>
        <v>221475</v>
      </c>
      <c r="BB56" s="91"/>
      <c r="BC56" s="91"/>
      <c r="BD56" s="68"/>
      <c r="BE56" s="68">
        <f t="shared" si="28"/>
        <v>221475</v>
      </c>
      <c r="BF56" s="91"/>
      <c r="BG56" s="91"/>
      <c r="BH56" s="68"/>
      <c r="BI56" s="68">
        <f t="shared" si="29"/>
        <v>221475</v>
      </c>
      <c r="BJ56" s="91"/>
      <c r="BK56" s="91"/>
      <c r="BL56" s="68"/>
      <c r="BM56" s="68">
        <f t="shared" si="30"/>
        <v>221475</v>
      </c>
      <c r="BN56" s="91"/>
      <c r="BO56" s="91"/>
      <c r="BP56" s="68"/>
      <c r="BQ56" s="68">
        <f t="shared" si="31"/>
        <v>221475</v>
      </c>
      <c r="BR56" s="68"/>
      <c r="BS56" s="68"/>
      <c r="BT56" s="68"/>
      <c r="BU56" s="68">
        <f t="shared" si="45"/>
        <v>0</v>
      </c>
      <c r="BV56" s="31"/>
      <c r="BW56" s="32"/>
      <c r="BX56" s="27"/>
      <c r="BY56" s="32"/>
      <c r="BZ56" s="32"/>
      <c r="CA56" s="32">
        <f t="shared" si="48"/>
        <v>0</v>
      </c>
      <c r="CB56" s="32"/>
      <c r="CC56" s="32"/>
      <c r="CD56" s="32"/>
      <c r="CE56" s="32">
        <f t="shared" si="49"/>
        <v>0</v>
      </c>
      <c r="CF56" s="32"/>
      <c r="CG56" s="32"/>
    </row>
    <row r="57" spans="1:85" x14ac:dyDescent="0.5">
      <c r="A57" s="61">
        <v>51</v>
      </c>
      <c r="B57" s="81" t="s">
        <v>164</v>
      </c>
      <c r="C57" s="67"/>
      <c r="D57" s="68"/>
      <c r="E57" s="68"/>
      <c r="F57" s="91"/>
      <c r="G57" s="91">
        <v>580</v>
      </c>
      <c r="H57" s="62"/>
      <c r="I57" s="68">
        <f>+G57</f>
        <v>580</v>
      </c>
      <c r="J57" s="91"/>
      <c r="K57" s="91">
        <f>21700+2030</f>
        <v>23730</v>
      </c>
      <c r="L57" s="68"/>
      <c r="M57" s="68">
        <f>+I57+K57-J57</f>
        <v>24310</v>
      </c>
      <c r="N57" s="119"/>
      <c r="O57" s="119">
        <f>900+41940+420+8670+2700</f>
        <v>54630</v>
      </c>
      <c r="P57" s="68"/>
      <c r="Q57" s="68">
        <f t="shared" si="33"/>
        <v>78940</v>
      </c>
      <c r="R57" s="91"/>
      <c r="S57" s="91">
        <v>290</v>
      </c>
      <c r="T57" s="68"/>
      <c r="U57" s="68">
        <f t="shared" si="34"/>
        <v>79230</v>
      </c>
      <c r="V57" s="91"/>
      <c r="W57" s="91"/>
      <c r="X57" s="68"/>
      <c r="Y57" s="68">
        <f t="shared" si="26"/>
        <v>79230</v>
      </c>
      <c r="Z57" s="91"/>
      <c r="AA57" s="91">
        <v>3130</v>
      </c>
      <c r="AB57" s="68"/>
      <c r="AC57" s="68">
        <f t="shared" si="35"/>
        <v>82360</v>
      </c>
      <c r="AD57" s="91"/>
      <c r="AE57" s="91">
        <v>290</v>
      </c>
      <c r="AF57" s="68"/>
      <c r="AG57" s="68">
        <f t="shared" si="36"/>
        <v>82650</v>
      </c>
      <c r="AH57" s="91"/>
      <c r="AI57" s="91">
        <v>290</v>
      </c>
      <c r="AJ57" s="68"/>
      <c r="AK57" s="68">
        <f t="shared" si="14"/>
        <v>82940</v>
      </c>
      <c r="AL57" s="91"/>
      <c r="AM57" s="91"/>
      <c r="AN57" s="68"/>
      <c r="AO57" s="68">
        <f t="shared" si="46"/>
        <v>82940</v>
      </c>
      <c r="AP57" s="91"/>
      <c r="AQ57" s="91">
        <f>1160+1270</f>
        <v>2430</v>
      </c>
      <c r="AR57" s="62">
        <v>0</v>
      </c>
      <c r="AS57" s="68">
        <f t="shared" si="27"/>
        <v>85370</v>
      </c>
      <c r="AT57" s="91"/>
      <c r="AU57" s="91">
        <f>290+1230</f>
        <v>1520</v>
      </c>
      <c r="AV57" s="68"/>
      <c r="AW57" s="68">
        <f t="shared" si="41"/>
        <v>86890</v>
      </c>
      <c r="AX57" s="91"/>
      <c r="AY57" s="91"/>
      <c r="AZ57" s="68"/>
      <c r="BA57" s="68">
        <f>+AW57+AY57-AX57</f>
        <v>86890</v>
      </c>
      <c r="BB57" s="91"/>
      <c r="BC57" s="91"/>
      <c r="BD57" s="68"/>
      <c r="BE57" s="68">
        <f t="shared" si="28"/>
        <v>86890</v>
      </c>
      <c r="BF57" s="91"/>
      <c r="BG57" s="91">
        <v>290</v>
      </c>
      <c r="BH57" s="68"/>
      <c r="BI57" s="68">
        <f t="shared" si="29"/>
        <v>87180</v>
      </c>
      <c r="BJ57" s="91"/>
      <c r="BK57" s="91"/>
      <c r="BL57" s="68"/>
      <c r="BM57" s="68">
        <f t="shared" si="30"/>
        <v>87180</v>
      </c>
      <c r="BN57" s="91"/>
      <c r="BO57" s="91">
        <v>290</v>
      </c>
      <c r="BP57" s="68"/>
      <c r="BQ57" s="68">
        <f t="shared" si="31"/>
        <v>87470</v>
      </c>
      <c r="BR57" s="68"/>
      <c r="BS57" s="68"/>
      <c r="BT57" s="68"/>
      <c r="BU57" s="68"/>
      <c r="BV57" s="31"/>
      <c r="BW57" s="32"/>
      <c r="BX57" s="27"/>
      <c r="BY57" s="32"/>
      <c r="BZ57" s="32"/>
      <c r="CA57" s="32"/>
      <c r="CB57" s="32"/>
      <c r="CC57" s="32"/>
      <c r="CD57" s="32"/>
      <c r="CE57" s="32"/>
      <c r="CF57" s="32"/>
      <c r="CG57" s="32"/>
    </row>
    <row r="58" spans="1:85" ht="24" x14ac:dyDescent="0.55000000000000004">
      <c r="A58" s="61">
        <v>52</v>
      </c>
      <c r="B58" s="81" t="s">
        <v>68</v>
      </c>
      <c r="C58" s="67">
        <v>271</v>
      </c>
      <c r="D58" s="68">
        <f>+'กระดาษทำการ 30 เม.ย.58'!BP60</f>
        <v>0</v>
      </c>
      <c r="E58" s="68">
        <f>+'กระดาษทำการ 30 เม.ย.58'!BQ60</f>
        <v>0</v>
      </c>
      <c r="F58" s="91"/>
      <c r="G58" s="91"/>
      <c r="H58" s="62">
        <f t="shared" si="0"/>
        <v>0</v>
      </c>
      <c r="I58" s="68"/>
      <c r="J58" s="91"/>
      <c r="K58" s="91"/>
      <c r="L58" s="68"/>
      <c r="M58" s="68">
        <f t="shared" si="38"/>
        <v>0</v>
      </c>
      <c r="N58" s="91"/>
      <c r="O58" s="91"/>
      <c r="P58" s="68"/>
      <c r="Q58" s="68">
        <f t="shared" si="33"/>
        <v>0</v>
      </c>
      <c r="R58" s="91"/>
      <c r="S58" s="91"/>
      <c r="T58" s="68"/>
      <c r="U58" s="68">
        <f t="shared" si="34"/>
        <v>0</v>
      </c>
      <c r="V58" s="91"/>
      <c r="W58" s="91"/>
      <c r="X58" s="68"/>
      <c r="Y58" s="68">
        <f t="shared" si="26"/>
        <v>0</v>
      </c>
      <c r="Z58" s="92"/>
      <c r="AA58" s="92">
        <f>60+200</f>
        <v>260</v>
      </c>
      <c r="AB58" s="68"/>
      <c r="AC58" s="68">
        <f>+Y58+AA58-Z58</f>
        <v>260</v>
      </c>
      <c r="AD58" s="91"/>
      <c r="AE58" s="91">
        <v>20</v>
      </c>
      <c r="AF58" s="68"/>
      <c r="AG58" s="68">
        <f t="shared" si="36"/>
        <v>280</v>
      </c>
      <c r="AH58" s="91"/>
      <c r="AI58" s="91">
        <v>400</v>
      </c>
      <c r="AJ58" s="68"/>
      <c r="AK58" s="68">
        <f t="shared" si="14"/>
        <v>680</v>
      </c>
      <c r="AL58" s="91"/>
      <c r="AM58" s="91">
        <v>40</v>
      </c>
      <c r="AN58" s="68"/>
      <c r="AO58" s="68">
        <f t="shared" si="46"/>
        <v>720</v>
      </c>
      <c r="AP58" s="91"/>
      <c r="AQ58" s="91"/>
      <c r="AR58" s="62">
        <f t="shared" si="40"/>
        <v>0</v>
      </c>
      <c r="AS58" s="68">
        <f t="shared" si="27"/>
        <v>720</v>
      </c>
      <c r="AT58" s="91"/>
      <c r="AU58" s="91"/>
      <c r="AV58" s="68"/>
      <c r="AW58" s="68">
        <f t="shared" si="41"/>
        <v>720</v>
      </c>
      <c r="AX58" s="91"/>
      <c r="AY58" s="91"/>
      <c r="AZ58" s="68"/>
      <c r="BA58" s="68">
        <f>+AW58+AY58-AX58</f>
        <v>720</v>
      </c>
      <c r="BB58" s="91"/>
      <c r="BC58" s="91"/>
      <c r="BD58" s="68"/>
      <c r="BE58" s="68">
        <f t="shared" si="28"/>
        <v>720</v>
      </c>
      <c r="BF58" s="91"/>
      <c r="BG58" s="91"/>
      <c r="BH58" s="68"/>
      <c r="BI58" s="68">
        <f t="shared" si="29"/>
        <v>720</v>
      </c>
      <c r="BJ58" s="91"/>
      <c r="BK58" s="91"/>
      <c r="BL58" s="68"/>
      <c r="BM58" s="68">
        <f t="shared" si="30"/>
        <v>720</v>
      </c>
      <c r="BN58" s="91"/>
      <c r="BO58" s="91"/>
      <c r="BP58" s="68"/>
      <c r="BQ58" s="68">
        <f t="shared" si="31"/>
        <v>720</v>
      </c>
      <c r="BR58" s="68"/>
      <c r="BS58" s="68"/>
      <c r="BT58" s="68"/>
      <c r="BU58" s="68">
        <f t="shared" ref="BU58:BU64" si="50">E58+BS58-BR58</f>
        <v>0</v>
      </c>
      <c r="BV58" s="31"/>
      <c r="BW58" s="32"/>
      <c r="BX58" s="48" t="s">
        <v>137</v>
      </c>
      <c r="BY58" s="32">
        <f>29+232+210.98</f>
        <v>471.98</v>
      </c>
      <c r="BZ58" s="32"/>
      <c r="CA58" s="32">
        <f t="shared" si="48"/>
        <v>471.98</v>
      </c>
      <c r="CB58" s="32"/>
      <c r="CC58" s="32"/>
      <c r="CD58" s="32"/>
      <c r="CE58" s="32">
        <f t="shared" si="49"/>
        <v>471.98</v>
      </c>
      <c r="CF58" s="32"/>
      <c r="CG58" s="32"/>
    </row>
    <row r="59" spans="1:85" x14ac:dyDescent="0.5">
      <c r="A59" s="61">
        <v>53</v>
      </c>
      <c r="B59" s="82" t="s">
        <v>69</v>
      </c>
      <c r="C59" s="67">
        <v>275</v>
      </c>
      <c r="D59" s="68">
        <f>+'กระดาษทำการ 30 เม.ย.58'!BP61</f>
        <v>0</v>
      </c>
      <c r="E59" s="68">
        <f>+'กระดาษทำการ 30 เม.ย.58'!BQ61</f>
        <v>0</v>
      </c>
      <c r="F59" s="91"/>
      <c r="G59" s="91"/>
      <c r="H59" s="62">
        <f t="shared" si="0"/>
        <v>0</v>
      </c>
      <c r="I59" s="68"/>
      <c r="J59" s="91"/>
      <c r="K59" s="91"/>
      <c r="L59" s="68"/>
      <c r="M59" s="68">
        <f t="shared" si="38"/>
        <v>0</v>
      </c>
      <c r="N59" s="91"/>
      <c r="O59" s="91"/>
      <c r="P59" s="68"/>
      <c r="Q59" s="68">
        <f t="shared" si="33"/>
        <v>0</v>
      </c>
      <c r="R59" s="91"/>
      <c r="S59" s="91"/>
      <c r="T59" s="68"/>
      <c r="U59" s="68">
        <f t="shared" si="34"/>
        <v>0</v>
      </c>
      <c r="V59" s="91"/>
      <c r="W59" s="91"/>
      <c r="X59" s="68"/>
      <c r="Y59" s="68">
        <f t="shared" si="26"/>
        <v>0</v>
      </c>
      <c r="Z59" s="91"/>
      <c r="AA59" s="91"/>
      <c r="AB59" s="68"/>
      <c r="AC59" s="68">
        <f t="shared" si="35"/>
        <v>0</v>
      </c>
      <c r="AD59" s="91"/>
      <c r="AE59" s="91"/>
      <c r="AF59" s="68"/>
      <c r="AG59" s="68">
        <f t="shared" si="36"/>
        <v>0</v>
      </c>
      <c r="AH59" s="91"/>
      <c r="AI59" s="91"/>
      <c r="AJ59" s="68"/>
      <c r="AK59" s="68">
        <f t="shared" si="14"/>
        <v>0</v>
      </c>
      <c r="AL59" s="91"/>
      <c r="AM59" s="91"/>
      <c r="AN59" s="68"/>
      <c r="AO59" s="68">
        <f t="shared" si="46"/>
        <v>0</v>
      </c>
      <c r="AP59" s="91"/>
      <c r="AQ59" s="91">
        <v>8200</v>
      </c>
      <c r="AR59" s="62">
        <v>0</v>
      </c>
      <c r="AS59" s="68">
        <f t="shared" si="27"/>
        <v>8200</v>
      </c>
      <c r="AT59" s="91"/>
      <c r="AU59" s="91"/>
      <c r="AV59" s="68"/>
      <c r="AW59" s="68">
        <f t="shared" si="41"/>
        <v>8200</v>
      </c>
      <c r="AX59" s="91"/>
      <c r="AY59" s="91"/>
      <c r="AZ59" s="68"/>
      <c r="BA59" s="68">
        <f t="shared" ref="BA59:BA62" si="51">+AW59+AY59-AX59</f>
        <v>8200</v>
      </c>
      <c r="BB59" s="91"/>
      <c r="BC59" s="91"/>
      <c r="BD59" s="68"/>
      <c r="BE59" s="68">
        <f t="shared" si="28"/>
        <v>8200</v>
      </c>
      <c r="BF59" s="91"/>
      <c r="BG59" s="91"/>
      <c r="BH59" s="68"/>
      <c r="BI59" s="68">
        <f t="shared" si="29"/>
        <v>8200</v>
      </c>
      <c r="BJ59" s="91"/>
      <c r="BK59" s="91"/>
      <c r="BL59" s="68"/>
      <c r="BM59" s="68">
        <f t="shared" si="30"/>
        <v>8200</v>
      </c>
      <c r="BN59" s="91"/>
      <c r="BO59" s="91"/>
      <c r="BP59" s="68"/>
      <c r="BQ59" s="68">
        <f t="shared" si="31"/>
        <v>8200</v>
      </c>
      <c r="BR59" s="68"/>
      <c r="BS59" s="68"/>
      <c r="BT59" s="68"/>
      <c r="BU59" s="68">
        <f t="shared" si="50"/>
        <v>0</v>
      </c>
      <c r="BV59" s="31">
        <v>12</v>
      </c>
      <c r="BW59" s="32">
        <v>8200</v>
      </c>
      <c r="BX59" s="27"/>
      <c r="BY59" s="32"/>
      <c r="BZ59" s="32"/>
      <c r="CA59" s="32">
        <f t="shared" si="48"/>
        <v>-8200</v>
      </c>
      <c r="CB59" s="32"/>
      <c r="CC59" s="32"/>
      <c r="CD59" s="32"/>
      <c r="CE59" s="32">
        <f t="shared" si="49"/>
        <v>-8200</v>
      </c>
      <c r="CF59" s="32"/>
      <c r="CG59" s="32"/>
    </row>
    <row r="60" spans="1:85" x14ac:dyDescent="0.5">
      <c r="A60" s="61">
        <v>54</v>
      </c>
      <c r="B60" s="81" t="s">
        <v>70</v>
      </c>
      <c r="C60" s="67">
        <v>277</v>
      </c>
      <c r="D60" s="68">
        <f>+'กระดาษทำการ 30 เม.ย.58'!BP62</f>
        <v>0</v>
      </c>
      <c r="E60" s="68">
        <f>+'กระดาษทำการ 30 เม.ย.58'!BQ62</f>
        <v>0</v>
      </c>
      <c r="F60" s="91"/>
      <c r="G60" s="91"/>
      <c r="H60" s="62">
        <f t="shared" si="0"/>
        <v>0</v>
      </c>
      <c r="I60" s="68"/>
      <c r="J60" s="91"/>
      <c r="K60" s="91"/>
      <c r="L60" s="68"/>
      <c r="M60" s="68">
        <f t="shared" si="38"/>
        <v>0</v>
      </c>
      <c r="N60" s="91"/>
      <c r="O60" s="91"/>
      <c r="P60" s="68"/>
      <c r="Q60" s="68">
        <f>+M60+O60-N60</f>
        <v>0</v>
      </c>
      <c r="R60" s="91"/>
      <c r="S60" s="91"/>
      <c r="T60" s="68"/>
      <c r="U60" s="68">
        <f t="shared" si="34"/>
        <v>0</v>
      </c>
      <c r="V60" s="91"/>
      <c r="W60" s="91"/>
      <c r="X60" s="68"/>
      <c r="Y60" s="68">
        <f t="shared" si="26"/>
        <v>0</v>
      </c>
      <c r="Z60" s="91"/>
      <c r="AA60" s="91"/>
      <c r="AB60" s="68"/>
      <c r="AC60" s="68">
        <f t="shared" si="35"/>
        <v>0</v>
      </c>
      <c r="AD60" s="91"/>
      <c r="AE60" s="91"/>
      <c r="AF60" s="68"/>
      <c r="AG60" s="68">
        <f t="shared" si="36"/>
        <v>0</v>
      </c>
      <c r="AH60" s="91"/>
      <c r="AI60" s="91"/>
      <c r="AJ60" s="68"/>
      <c r="AK60" s="68">
        <f t="shared" si="14"/>
        <v>0</v>
      </c>
      <c r="AL60" s="91"/>
      <c r="AM60" s="91"/>
      <c r="AN60" s="68"/>
      <c r="AO60" s="68">
        <f t="shared" si="46"/>
        <v>0</v>
      </c>
      <c r="AP60" s="91"/>
      <c r="AQ60" s="91"/>
      <c r="AR60" s="62">
        <f t="shared" si="40"/>
        <v>0</v>
      </c>
      <c r="AS60" s="68">
        <f t="shared" si="27"/>
        <v>0</v>
      </c>
      <c r="AT60" s="91"/>
      <c r="AU60" s="91"/>
      <c r="AV60" s="68"/>
      <c r="AW60" s="68">
        <f t="shared" si="41"/>
        <v>0</v>
      </c>
      <c r="AX60" s="91"/>
      <c r="AY60" s="91"/>
      <c r="AZ60" s="68"/>
      <c r="BA60" s="68">
        <f t="shared" si="51"/>
        <v>0</v>
      </c>
      <c r="BB60" s="91"/>
      <c r="BC60" s="91"/>
      <c r="BD60" s="68"/>
      <c r="BE60" s="68">
        <f t="shared" si="28"/>
        <v>0</v>
      </c>
      <c r="BF60" s="91"/>
      <c r="BG60" s="91"/>
      <c r="BH60" s="68"/>
      <c r="BI60" s="68">
        <f t="shared" si="29"/>
        <v>0</v>
      </c>
      <c r="BJ60" s="91"/>
      <c r="BK60" s="91"/>
      <c r="BL60" s="68"/>
      <c r="BM60" s="68">
        <f t="shared" si="30"/>
        <v>0</v>
      </c>
      <c r="BN60" s="91"/>
      <c r="BO60" s="91"/>
      <c r="BP60" s="68"/>
      <c r="BQ60" s="68">
        <f t="shared" si="31"/>
        <v>0</v>
      </c>
      <c r="BR60" s="68"/>
      <c r="BS60" s="68"/>
      <c r="BT60" s="68"/>
      <c r="BU60" s="68">
        <f t="shared" si="50"/>
        <v>0</v>
      </c>
      <c r="BV60" s="31"/>
      <c r="BW60" s="32"/>
      <c r="BX60" s="27">
        <v>2</v>
      </c>
      <c r="BY60" s="32">
        <v>13223.85</v>
      </c>
      <c r="BZ60" s="32"/>
      <c r="CA60" s="32">
        <f t="shared" si="48"/>
        <v>13223.85</v>
      </c>
      <c r="CB60" s="32"/>
      <c r="CC60" s="32"/>
      <c r="CD60" s="32"/>
      <c r="CE60" s="32">
        <f t="shared" si="49"/>
        <v>13223.85</v>
      </c>
      <c r="CF60" s="32"/>
      <c r="CG60" s="32"/>
    </row>
    <row r="61" spans="1:85" s="124" customFormat="1" ht="24" x14ac:dyDescent="0.55000000000000004">
      <c r="A61" s="61">
        <v>55</v>
      </c>
      <c r="B61" s="81" t="s">
        <v>71</v>
      </c>
      <c r="C61" s="67">
        <v>279</v>
      </c>
      <c r="D61" s="68">
        <f>+'กระดาษทำการ 30 เม.ย.58'!BP63</f>
        <v>0</v>
      </c>
      <c r="E61" s="68">
        <f>+'กระดาษทำการ 30 เม.ย.58'!BQ63</f>
        <v>0</v>
      </c>
      <c r="F61" s="119"/>
      <c r="G61" s="119"/>
      <c r="H61" s="62"/>
      <c r="I61" s="68">
        <f>+G61</f>
        <v>0</v>
      </c>
      <c r="J61" s="91"/>
      <c r="K61" s="91"/>
      <c r="L61" s="68"/>
      <c r="M61" s="68">
        <f t="shared" si="38"/>
        <v>0</v>
      </c>
      <c r="N61" s="91"/>
      <c r="O61" s="91"/>
      <c r="P61" s="68"/>
      <c r="Q61" s="68">
        <f t="shared" si="33"/>
        <v>0</v>
      </c>
      <c r="R61" s="91"/>
      <c r="S61" s="91"/>
      <c r="T61" s="68"/>
      <c r="U61" s="68">
        <f t="shared" si="34"/>
        <v>0</v>
      </c>
      <c r="V61" s="92"/>
      <c r="W61" s="92">
        <v>413.88</v>
      </c>
      <c r="X61" s="68"/>
      <c r="Y61" s="68">
        <f t="shared" si="26"/>
        <v>413.88</v>
      </c>
      <c r="Z61" s="91"/>
      <c r="AA61" s="91"/>
      <c r="AB61" s="68"/>
      <c r="AC61" s="68">
        <f t="shared" si="35"/>
        <v>413.88</v>
      </c>
      <c r="AD61" s="91"/>
      <c r="AE61" s="91"/>
      <c r="AF61" s="68"/>
      <c r="AG61" s="68">
        <f>+AC61+AE61-AD61</f>
        <v>413.88</v>
      </c>
      <c r="AH61" s="91"/>
      <c r="AI61" s="91"/>
      <c r="AJ61" s="68"/>
      <c r="AK61" s="68">
        <f t="shared" si="14"/>
        <v>413.88</v>
      </c>
      <c r="AL61" s="91"/>
      <c r="AM61" s="91"/>
      <c r="AN61" s="68"/>
      <c r="AO61" s="68">
        <f t="shared" si="46"/>
        <v>413.88</v>
      </c>
      <c r="AP61" s="91"/>
      <c r="AQ61" s="91"/>
      <c r="AR61" s="62">
        <f t="shared" si="40"/>
        <v>0</v>
      </c>
      <c r="AS61" s="68">
        <f t="shared" si="27"/>
        <v>413.88</v>
      </c>
      <c r="AT61" s="91"/>
      <c r="AU61" s="91">
        <v>315.8</v>
      </c>
      <c r="AV61" s="68"/>
      <c r="AW61" s="68">
        <f t="shared" si="41"/>
        <v>729.68000000000006</v>
      </c>
      <c r="AX61" s="91"/>
      <c r="AY61" s="91"/>
      <c r="AZ61" s="68"/>
      <c r="BA61" s="68">
        <f t="shared" si="51"/>
        <v>729.68000000000006</v>
      </c>
      <c r="BB61" s="91"/>
      <c r="BC61" s="91"/>
      <c r="BD61" s="68"/>
      <c r="BE61" s="68">
        <f t="shared" si="28"/>
        <v>729.68000000000006</v>
      </c>
      <c r="BF61" s="91"/>
      <c r="BG61" s="91"/>
      <c r="BH61" s="68"/>
      <c r="BI61" s="68">
        <f t="shared" si="29"/>
        <v>729.68000000000006</v>
      </c>
      <c r="BJ61" s="91"/>
      <c r="BK61" s="91"/>
      <c r="BL61" s="68"/>
      <c r="BM61" s="68">
        <f t="shared" si="30"/>
        <v>729.68000000000006</v>
      </c>
      <c r="BN61" s="91"/>
      <c r="BO61" s="91"/>
      <c r="BP61" s="68"/>
      <c r="BQ61" s="68">
        <f t="shared" si="31"/>
        <v>729.68000000000006</v>
      </c>
      <c r="BR61" s="68"/>
      <c r="BS61" s="68"/>
      <c r="BT61" s="68"/>
      <c r="BU61" s="68">
        <f t="shared" si="50"/>
        <v>0</v>
      </c>
      <c r="BV61" s="31"/>
      <c r="BW61" s="32"/>
      <c r="BX61" s="27">
        <v>1</v>
      </c>
      <c r="BY61" s="32">
        <v>689.28</v>
      </c>
      <c r="BZ61" s="32"/>
      <c r="CA61" s="32">
        <f t="shared" si="48"/>
        <v>689.28</v>
      </c>
      <c r="CB61" s="32"/>
      <c r="CC61" s="32"/>
      <c r="CD61" s="32"/>
      <c r="CE61" s="32">
        <f t="shared" si="49"/>
        <v>689.28</v>
      </c>
      <c r="CF61" s="32"/>
      <c r="CG61" s="32"/>
    </row>
    <row r="62" spans="1:85" x14ac:dyDescent="0.5">
      <c r="A62" s="61">
        <v>56</v>
      </c>
      <c r="B62" s="81" t="s">
        <v>10</v>
      </c>
      <c r="C62" s="67">
        <v>281</v>
      </c>
      <c r="D62" s="68">
        <f>+'กระดาษทำการ 30 เม.ย.58'!BP64</f>
        <v>0</v>
      </c>
      <c r="E62" s="68">
        <f>+'กระดาษทำการ 30 เม.ย.58'!BQ64</f>
        <v>0</v>
      </c>
      <c r="F62" s="91"/>
      <c r="G62" s="91"/>
      <c r="H62" s="62">
        <f t="shared" si="0"/>
        <v>0</v>
      </c>
      <c r="I62" s="68"/>
      <c r="J62" s="91"/>
      <c r="K62" s="91"/>
      <c r="L62" s="68"/>
      <c r="M62" s="68">
        <f t="shared" si="38"/>
        <v>0</v>
      </c>
      <c r="N62" s="119"/>
      <c r="O62" s="119">
        <v>250</v>
      </c>
      <c r="P62" s="68"/>
      <c r="Q62" s="68">
        <f t="shared" si="33"/>
        <v>250</v>
      </c>
      <c r="R62" s="91"/>
      <c r="S62" s="91"/>
      <c r="T62" s="68"/>
      <c r="U62" s="68">
        <f t="shared" si="34"/>
        <v>250</v>
      </c>
      <c r="V62" s="91"/>
      <c r="W62" s="91"/>
      <c r="X62" s="68"/>
      <c r="Y62" s="68">
        <f t="shared" si="26"/>
        <v>250</v>
      </c>
      <c r="Z62" s="91"/>
      <c r="AA62" s="91"/>
      <c r="AB62" s="68"/>
      <c r="AC62" s="68">
        <f t="shared" si="35"/>
        <v>250</v>
      </c>
      <c r="AD62" s="91"/>
      <c r="AE62" s="91"/>
      <c r="AF62" s="68"/>
      <c r="AG62" s="68">
        <f t="shared" si="36"/>
        <v>250</v>
      </c>
      <c r="AH62" s="91"/>
      <c r="AI62" s="91"/>
      <c r="AJ62" s="68"/>
      <c r="AK62" s="68">
        <f t="shared" si="14"/>
        <v>250</v>
      </c>
      <c r="AL62" s="91"/>
      <c r="AM62" s="91">
        <v>150</v>
      </c>
      <c r="AN62" s="68"/>
      <c r="AO62" s="68">
        <f>+AK62+AM62</f>
        <v>400</v>
      </c>
      <c r="AP62" s="91"/>
      <c r="AQ62" s="91"/>
      <c r="AR62" s="62">
        <f t="shared" si="40"/>
        <v>0</v>
      </c>
      <c r="AS62" s="68">
        <f t="shared" si="27"/>
        <v>400</v>
      </c>
      <c r="AT62" s="91"/>
      <c r="AU62" s="91"/>
      <c r="AV62" s="68"/>
      <c r="AW62" s="68">
        <f t="shared" si="41"/>
        <v>400</v>
      </c>
      <c r="AX62" s="91"/>
      <c r="AY62" s="91">
        <v>100</v>
      </c>
      <c r="AZ62" s="68"/>
      <c r="BA62" s="68">
        <f t="shared" si="51"/>
        <v>500</v>
      </c>
      <c r="BB62" s="91"/>
      <c r="BC62" s="91"/>
      <c r="BD62" s="68"/>
      <c r="BE62" s="68">
        <f t="shared" si="28"/>
        <v>500</v>
      </c>
      <c r="BF62" s="91"/>
      <c r="BG62" s="91"/>
      <c r="BH62" s="68"/>
      <c r="BI62" s="68">
        <f t="shared" si="29"/>
        <v>500</v>
      </c>
      <c r="BJ62" s="91"/>
      <c r="BK62" s="91"/>
      <c r="BL62" s="68"/>
      <c r="BM62" s="68">
        <f t="shared" si="30"/>
        <v>500</v>
      </c>
      <c r="BN62" s="91"/>
      <c r="BO62" s="91"/>
      <c r="BP62" s="68"/>
      <c r="BQ62" s="68">
        <f t="shared" si="31"/>
        <v>500</v>
      </c>
      <c r="BR62" s="68"/>
      <c r="BS62" s="68"/>
      <c r="BT62" s="68"/>
      <c r="BU62" s="68">
        <f t="shared" si="50"/>
        <v>0</v>
      </c>
      <c r="BV62" s="31"/>
      <c r="BW62" s="32"/>
      <c r="BX62" s="27"/>
      <c r="BY62" s="32"/>
      <c r="BZ62" s="32"/>
      <c r="CA62" s="32">
        <f t="shared" si="48"/>
        <v>0</v>
      </c>
      <c r="CB62" s="32"/>
      <c r="CC62" s="32"/>
      <c r="CD62" s="32"/>
      <c r="CE62" s="32">
        <f t="shared" si="49"/>
        <v>0</v>
      </c>
      <c r="CF62" s="32"/>
      <c r="CG62" s="32"/>
    </row>
    <row r="63" spans="1:85" x14ac:dyDescent="0.5">
      <c r="A63" s="61">
        <v>57</v>
      </c>
      <c r="B63" s="81" t="s">
        <v>84</v>
      </c>
      <c r="C63" s="67"/>
      <c r="D63" s="68">
        <f>+'กระดาษทำการ 30 เม.ย.58'!BP65</f>
        <v>0</v>
      </c>
      <c r="E63" s="68">
        <f>+'กระดาษทำการ 30 เม.ย.58'!BQ65</f>
        <v>0</v>
      </c>
      <c r="F63" s="91"/>
      <c r="G63" s="91"/>
      <c r="H63" s="62">
        <f t="shared" si="0"/>
        <v>0</v>
      </c>
      <c r="I63" s="68"/>
      <c r="J63" s="91"/>
      <c r="K63" s="91"/>
      <c r="L63" s="68"/>
      <c r="M63" s="68">
        <f t="shared" si="38"/>
        <v>0</v>
      </c>
      <c r="N63" s="91"/>
      <c r="O63" s="91"/>
      <c r="P63" s="68"/>
      <c r="Q63" s="68">
        <f>+M63+O63-N63</f>
        <v>0</v>
      </c>
      <c r="R63" s="91"/>
      <c r="S63" s="91"/>
      <c r="T63" s="68"/>
      <c r="U63" s="68">
        <f t="shared" si="34"/>
        <v>0</v>
      </c>
      <c r="V63" s="91"/>
      <c r="W63" s="91"/>
      <c r="X63" s="68"/>
      <c r="Y63" s="68"/>
      <c r="Z63" s="91"/>
      <c r="AA63" s="91"/>
      <c r="AB63" s="68"/>
      <c r="AC63" s="68">
        <f>+Y63+AA63-Z63</f>
        <v>0</v>
      </c>
      <c r="AD63" s="91"/>
      <c r="AE63" s="91"/>
      <c r="AF63" s="68"/>
      <c r="AG63" s="68">
        <f t="shared" si="36"/>
        <v>0</v>
      </c>
      <c r="AH63" s="91"/>
      <c r="AI63" s="91"/>
      <c r="AJ63" s="68"/>
      <c r="AK63" s="68">
        <f t="shared" si="14"/>
        <v>0</v>
      </c>
      <c r="AL63" s="91"/>
      <c r="AM63" s="91"/>
      <c r="AN63" s="68"/>
      <c r="AO63" s="68"/>
      <c r="AP63" s="91"/>
      <c r="AQ63" s="91"/>
      <c r="AR63" s="62">
        <f t="shared" si="40"/>
        <v>0</v>
      </c>
      <c r="AS63" s="68">
        <f t="shared" si="27"/>
        <v>0</v>
      </c>
      <c r="AT63" s="91"/>
      <c r="AU63" s="91"/>
      <c r="AV63" s="68"/>
      <c r="AW63" s="68">
        <f t="shared" si="41"/>
        <v>0</v>
      </c>
      <c r="AX63" s="91"/>
      <c r="AY63" s="91"/>
      <c r="AZ63" s="68"/>
      <c r="BA63" s="68">
        <f>+AW63+AY63-AX63</f>
        <v>0</v>
      </c>
      <c r="BB63" s="91"/>
      <c r="BC63" s="91"/>
      <c r="BD63" s="68"/>
      <c r="BE63" s="68">
        <f t="shared" si="28"/>
        <v>0</v>
      </c>
      <c r="BF63" s="91"/>
      <c r="BG63" s="91"/>
      <c r="BH63" s="68"/>
      <c r="BI63" s="68">
        <f t="shared" si="29"/>
        <v>0</v>
      </c>
      <c r="BJ63" s="91"/>
      <c r="BK63" s="91"/>
      <c r="BL63" s="68"/>
      <c r="BM63" s="68">
        <f t="shared" si="30"/>
        <v>0</v>
      </c>
      <c r="BN63" s="91"/>
      <c r="BO63" s="91"/>
      <c r="BP63" s="68"/>
      <c r="BQ63" s="68">
        <f t="shared" si="31"/>
        <v>0</v>
      </c>
      <c r="BR63" s="68"/>
      <c r="BS63" s="68"/>
      <c r="BT63" s="68"/>
      <c r="BU63" s="68">
        <f t="shared" si="50"/>
        <v>0</v>
      </c>
      <c r="BV63" s="31"/>
      <c r="BW63" s="32"/>
      <c r="BX63" s="27"/>
      <c r="BY63" s="32"/>
      <c r="BZ63" s="32"/>
      <c r="CA63" s="32">
        <f t="shared" si="48"/>
        <v>0</v>
      </c>
      <c r="CB63" s="32"/>
      <c r="CC63" s="32">
        <v>17480</v>
      </c>
      <c r="CD63" s="32"/>
      <c r="CE63" s="32"/>
      <c r="CF63" s="32"/>
      <c r="CG63" s="32"/>
    </row>
    <row r="64" spans="1:85" x14ac:dyDescent="0.5">
      <c r="A64" s="61">
        <v>58</v>
      </c>
      <c r="B64" s="81" t="s">
        <v>85</v>
      </c>
      <c r="C64" s="67"/>
      <c r="D64" s="68">
        <f>+'กระดาษทำการ 30 เม.ย.58'!BP66</f>
        <v>0</v>
      </c>
      <c r="E64" s="68">
        <f>+'กระดาษทำการ 30 เม.ย.58'!BQ66</f>
        <v>0</v>
      </c>
      <c r="F64" s="91"/>
      <c r="G64" s="91"/>
      <c r="H64" s="62">
        <f t="shared" si="0"/>
        <v>0</v>
      </c>
      <c r="I64" s="68"/>
      <c r="J64" s="91"/>
      <c r="K64" s="91"/>
      <c r="L64" s="68"/>
      <c r="M64" s="68">
        <f t="shared" si="38"/>
        <v>0</v>
      </c>
      <c r="N64" s="91"/>
      <c r="O64" s="91"/>
      <c r="P64" s="68"/>
      <c r="Q64" s="68">
        <f t="shared" si="33"/>
        <v>0</v>
      </c>
      <c r="R64" s="91"/>
      <c r="S64" s="91"/>
      <c r="T64" s="68"/>
      <c r="U64" s="68"/>
      <c r="V64" s="91"/>
      <c r="W64" s="91"/>
      <c r="X64" s="68"/>
      <c r="Y64" s="68"/>
      <c r="Z64" s="91"/>
      <c r="AA64" s="91"/>
      <c r="AB64" s="68"/>
      <c r="AC64" s="68">
        <f t="shared" si="35"/>
        <v>0</v>
      </c>
      <c r="AD64" s="91"/>
      <c r="AE64" s="91"/>
      <c r="AF64" s="68"/>
      <c r="AG64" s="68">
        <f t="shared" si="36"/>
        <v>0</v>
      </c>
      <c r="AH64" s="91"/>
      <c r="AI64" s="91"/>
      <c r="AJ64" s="68"/>
      <c r="AK64" s="68">
        <f t="shared" si="14"/>
        <v>0</v>
      </c>
      <c r="AL64" s="91"/>
      <c r="AM64" s="91"/>
      <c r="AN64" s="68"/>
      <c r="AO64" s="68"/>
      <c r="AP64" s="91"/>
      <c r="AQ64" s="91"/>
      <c r="AR64" s="62">
        <f t="shared" si="40"/>
        <v>0</v>
      </c>
      <c r="AS64" s="68">
        <f t="shared" si="27"/>
        <v>0</v>
      </c>
      <c r="AT64" s="91"/>
      <c r="AU64" s="91"/>
      <c r="AV64" s="68"/>
      <c r="AW64" s="68">
        <f t="shared" si="41"/>
        <v>0</v>
      </c>
      <c r="AX64" s="91"/>
      <c r="AY64" s="91"/>
      <c r="AZ64" s="68"/>
      <c r="BA64" s="68">
        <f>+AW64+AY64-AX64</f>
        <v>0</v>
      </c>
      <c r="BB64" s="91"/>
      <c r="BC64" s="91"/>
      <c r="BD64" s="68"/>
      <c r="BE64" s="68">
        <f t="shared" si="28"/>
        <v>0</v>
      </c>
      <c r="BF64" s="91"/>
      <c r="BG64" s="91"/>
      <c r="BH64" s="68"/>
      <c r="BI64" s="68">
        <f t="shared" si="29"/>
        <v>0</v>
      </c>
      <c r="BJ64" s="91"/>
      <c r="BK64" s="91"/>
      <c r="BL64" s="68"/>
      <c r="BM64" s="68">
        <f t="shared" si="30"/>
        <v>0</v>
      </c>
      <c r="BN64" s="91"/>
      <c r="BO64" s="91"/>
      <c r="BP64" s="68"/>
      <c r="BQ64" s="68">
        <f t="shared" si="31"/>
        <v>0</v>
      </c>
      <c r="BR64" s="68"/>
      <c r="BS64" s="68"/>
      <c r="BT64" s="68"/>
      <c r="BU64" s="68">
        <f t="shared" si="50"/>
        <v>0</v>
      </c>
      <c r="BV64" s="31">
        <v>5</v>
      </c>
      <c r="BW64" s="32">
        <v>232</v>
      </c>
      <c r="BX64" s="27"/>
      <c r="BY64" s="32"/>
      <c r="BZ64" s="32"/>
      <c r="CA64" s="32">
        <f t="shared" si="48"/>
        <v>-232</v>
      </c>
      <c r="CB64" s="32"/>
      <c r="CC64" s="32"/>
      <c r="CD64" s="32"/>
      <c r="CE64" s="32"/>
      <c r="CF64" s="32"/>
      <c r="CG64" s="32"/>
    </row>
    <row r="65" spans="1:85" ht="24" x14ac:dyDescent="0.55000000000000004">
      <c r="A65" s="61">
        <v>59</v>
      </c>
      <c r="B65" s="81" t="s">
        <v>23</v>
      </c>
      <c r="C65" s="67">
        <v>287</v>
      </c>
      <c r="D65" s="68">
        <f>+'กระดาษทำการ 30 เม.ย.58'!BP67</f>
        <v>0</v>
      </c>
      <c r="E65" s="68">
        <f>+'กระดาษทำการ 30 เม.ย.58'!BQ67</f>
        <v>0</v>
      </c>
      <c r="F65" s="119">
        <v>4806</v>
      </c>
      <c r="G65" s="119"/>
      <c r="H65" s="62">
        <f t="shared" si="0"/>
        <v>4806</v>
      </c>
      <c r="I65" s="68"/>
      <c r="J65" s="119">
        <v>29488</v>
      </c>
      <c r="K65" s="119"/>
      <c r="L65" s="68">
        <f>+H65+J65-K65</f>
        <v>34294</v>
      </c>
      <c r="M65" s="68"/>
      <c r="N65" s="119">
        <v>8432</v>
      </c>
      <c r="O65" s="119"/>
      <c r="P65" s="68">
        <f>+L65+N65-O65</f>
        <v>42726</v>
      </c>
      <c r="Q65" s="68"/>
      <c r="R65" s="92">
        <v>13343</v>
      </c>
      <c r="S65" s="92"/>
      <c r="T65" s="68">
        <f>+P65+R65-S65</f>
        <v>56069</v>
      </c>
      <c r="U65" s="68"/>
      <c r="V65" s="91"/>
      <c r="W65" s="91"/>
      <c r="X65" s="68">
        <f>+T65+V65-W65</f>
        <v>56069</v>
      </c>
      <c r="Y65" s="68"/>
      <c r="Z65" s="92">
        <v>16781</v>
      </c>
      <c r="AA65" s="92"/>
      <c r="AB65" s="68">
        <f>+X65+Z65-AA65</f>
        <v>72850</v>
      </c>
      <c r="AC65" s="68"/>
      <c r="AD65" s="91">
        <f>26000+5000+15310</f>
        <v>46310</v>
      </c>
      <c r="AE65" s="91"/>
      <c r="AF65" s="68">
        <f>+AB65+AD65-AE65</f>
        <v>119160</v>
      </c>
      <c r="AG65" s="68"/>
      <c r="AH65" s="91">
        <v>28950</v>
      </c>
      <c r="AI65" s="91"/>
      <c r="AJ65" s="68">
        <f>+AF65+AH65-AI65</f>
        <v>148110</v>
      </c>
      <c r="AK65" s="68"/>
      <c r="AL65" s="91">
        <f>7970+9600</f>
        <v>17570</v>
      </c>
      <c r="AM65" s="91"/>
      <c r="AN65" s="68">
        <f>+AJ65+AL65-AM65</f>
        <v>165680</v>
      </c>
      <c r="AO65" s="68"/>
      <c r="AP65" s="91">
        <v>12540</v>
      </c>
      <c r="AQ65" s="91"/>
      <c r="AR65" s="62">
        <f t="shared" si="40"/>
        <v>178220</v>
      </c>
      <c r="AS65" s="68">
        <v>0</v>
      </c>
      <c r="AT65" s="91"/>
      <c r="AU65" s="91"/>
      <c r="AV65" s="68">
        <f>+AR65+AT65-AU65</f>
        <v>178220</v>
      </c>
      <c r="AW65" s="68"/>
      <c r="AX65" s="91">
        <v>30425</v>
      </c>
      <c r="AY65" s="91"/>
      <c r="AZ65" s="68">
        <f>+AV65+AX65-AY65</f>
        <v>208645</v>
      </c>
      <c r="BA65" s="68"/>
      <c r="BB65" s="91">
        <v>27884</v>
      </c>
      <c r="BC65" s="91"/>
      <c r="BD65" s="68">
        <f>+AZ65+BB65-BC65</f>
        <v>236529</v>
      </c>
      <c r="BE65" s="68"/>
      <c r="BF65" s="91"/>
      <c r="BG65" s="91"/>
      <c r="BH65" s="68">
        <f>+BD65+BF65-BG65</f>
        <v>236529</v>
      </c>
      <c r="BI65" s="68"/>
      <c r="BJ65" s="91"/>
      <c r="BK65" s="91"/>
      <c r="BL65" s="68">
        <f>+BH65+BJ65-BK65</f>
        <v>236529</v>
      </c>
      <c r="BM65" s="68"/>
      <c r="BN65" s="91"/>
      <c r="BO65" s="91"/>
      <c r="BP65" s="68">
        <f>+BL65+BN65-BO65</f>
        <v>236529</v>
      </c>
      <c r="BQ65" s="68"/>
      <c r="BR65" s="68"/>
      <c r="BS65" s="68"/>
      <c r="BT65" s="68">
        <f>D65+BR65-BS65</f>
        <v>0</v>
      </c>
      <c r="BU65" s="68"/>
      <c r="BV65" s="31"/>
      <c r="BW65" s="32"/>
      <c r="BX65" s="27"/>
      <c r="BY65" s="32"/>
      <c r="BZ65" s="32">
        <f t="shared" ref="BZ65:BZ97" si="52">BT65+BW65-BY65</f>
        <v>0</v>
      </c>
      <c r="CA65" s="32">
        <f t="shared" si="48"/>
        <v>0</v>
      </c>
      <c r="CB65" s="32">
        <f>BZ65</f>
        <v>0</v>
      </c>
      <c r="CC65" s="32"/>
      <c r="CD65" s="32"/>
      <c r="CE65" s="32"/>
      <c r="CF65" s="32"/>
      <c r="CG65" s="32"/>
    </row>
    <row r="66" spans="1:85" ht="24" x14ac:dyDescent="0.55000000000000004">
      <c r="A66" s="61">
        <v>60</v>
      </c>
      <c r="B66" s="70" t="s">
        <v>148</v>
      </c>
      <c r="C66" s="71"/>
      <c r="D66" s="60"/>
      <c r="E66" s="60"/>
      <c r="F66" s="119">
        <v>288000</v>
      </c>
      <c r="G66" s="119"/>
      <c r="H66" s="68">
        <f t="shared" si="0"/>
        <v>288000</v>
      </c>
      <c r="I66" s="60"/>
      <c r="J66" s="91"/>
      <c r="K66" s="91"/>
      <c r="L66" s="68">
        <f t="shared" ref="L66:L93" si="53">+H66+J66-K66</f>
        <v>288000</v>
      </c>
      <c r="M66" s="68"/>
      <c r="N66" s="91"/>
      <c r="O66" s="91"/>
      <c r="P66" s="68">
        <f t="shared" ref="P66:P99" si="54">+L66+N66-O66</f>
        <v>288000</v>
      </c>
      <c r="Q66" s="68"/>
      <c r="R66" s="91"/>
      <c r="S66" s="91"/>
      <c r="T66" s="68">
        <f t="shared" ref="T66:T99" si="55">+P66+R66-S66</f>
        <v>288000</v>
      </c>
      <c r="U66" s="68"/>
      <c r="V66" s="91"/>
      <c r="W66" s="91"/>
      <c r="X66" s="68">
        <f t="shared" ref="X66:X99" si="56">+T66+V66-W66</f>
        <v>288000</v>
      </c>
      <c r="Y66" s="68"/>
      <c r="Z66" s="91"/>
      <c r="AA66" s="91"/>
      <c r="AB66" s="68">
        <f t="shared" ref="AB66:AB98" si="57">+X66+Z66-AA66</f>
        <v>288000</v>
      </c>
      <c r="AC66" s="68"/>
      <c r="AD66" s="91"/>
      <c r="AE66" s="91"/>
      <c r="AF66" s="68">
        <f t="shared" ref="AF66:AF98" si="58">+AB66+AD66-AE66</f>
        <v>288000</v>
      </c>
      <c r="AG66" s="68"/>
      <c r="AH66" s="91"/>
      <c r="AI66" s="91"/>
      <c r="AJ66" s="68">
        <f t="shared" ref="AJ66:AJ99" si="59">+AF66+AH66-AI66</f>
        <v>288000</v>
      </c>
      <c r="AK66" s="68"/>
      <c r="AL66" s="91"/>
      <c r="AM66" s="91"/>
      <c r="AN66" s="68">
        <f t="shared" ref="AN66:AN98" si="60">+AJ66+AL66-AM66</f>
        <v>288000</v>
      </c>
      <c r="AO66" s="68"/>
      <c r="AP66" s="91">
        <v>0</v>
      </c>
      <c r="AQ66" s="91"/>
      <c r="AR66" s="68">
        <f t="shared" si="40"/>
        <v>288000</v>
      </c>
      <c r="AS66" s="68">
        <f t="shared" si="27"/>
        <v>0</v>
      </c>
      <c r="AT66" s="91"/>
      <c r="AU66" s="91"/>
      <c r="AV66" s="68">
        <f t="shared" ref="AV66:AV82" si="61">+AR66+AT66-AU66</f>
        <v>288000</v>
      </c>
      <c r="AW66" s="68"/>
      <c r="AX66" s="91"/>
      <c r="AY66" s="91"/>
      <c r="AZ66" s="68">
        <f t="shared" ref="AZ66:AZ98" si="62">+AV66+AX66-AY66</f>
        <v>288000</v>
      </c>
      <c r="BA66" s="68"/>
      <c r="BB66" s="91"/>
      <c r="BC66" s="91"/>
      <c r="BD66" s="68">
        <f t="shared" ref="BD66:BD77" si="63">+AZ66+BB66-BC66</f>
        <v>288000</v>
      </c>
      <c r="BE66" s="68"/>
      <c r="BF66" s="91"/>
      <c r="BG66" s="91"/>
      <c r="BH66" s="68">
        <f t="shared" ref="BH66:BH77" si="64">+BD66+BF66-BG66</f>
        <v>288000</v>
      </c>
      <c r="BI66" s="68"/>
      <c r="BJ66" s="91"/>
      <c r="BK66" s="91"/>
      <c r="BL66" s="68">
        <f t="shared" ref="BL66:BL77" si="65">+BH66+BJ66-BK66</f>
        <v>288000</v>
      </c>
      <c r="BM66" s="68"/>
      <c r="BN66" s="91"/>
      <c r="BO66" s="91"/>
      <c r="BP66" s="68">
        <f t="shared" ref="BP66:BP77" si="66">+BL66+BN66-BO66</f>
        <v>288000</v>
      </c>
      <c r="BQ66" s="68"/>
      <c r="BR66" s="68"/>
      <c r="BS66" s="68"/>
      <c r="BT66" s="68"/>
      <c r="BU66" s="68"/>
      <c r="BV66" s="31"/>
      <c r="BW66" s="32"/>
      <c r="BX66" s="27"/>
      <c r="BY66" s="32"/>
      <c r="BZ66" s="32"/>
      <c r="CA66" s="32"/>
      <c r="CB66" s="32"/>
      <c r="CC66" s="32"/>
      <c r="CD66" s="32"/>
      <c r="CE66" s="32"/>
      <c r="CF66" s="32"/>
      <c r="CG66" s="32"/>
    </row>
    <row r="67" spans="1:85" ht="24" x14ac:dyDescent="0.55000000000000004">
      <c r="A67" s="61">
        <v>61</v>
      </c>
      <c r="B67" s="81" t="s">
        <v>149</v>
      </c>
      <c r="C67" s="67">
        <v>305</v>
      </c>
      <c r="D67" s="68">
        <f>+'กระดาษทำการ 30 เม.ย.58'!BP68</f>
        <v>0</v>
      </c>
      <c r="E67" s="68">
        <f>+'กระดาษทำการ 30 เม.ย.58'!BQ68</f>
        <v>0</v>
      </c>
      <c r="F67" s="119">
        <v>600</v>
      </c>
      <c r="G67" s="91"/>
      <c r="H67" s="62">
        <f t="shared" si="0"/>
        <v>600</v>
      </c>
      <c r="I67" s="68"/>
      <c r="J67" s="119">
        <v>400</v>
      </c>
      <c r="K67" s="119"/>
      <c r="L67" s="68">
        <f t="shared" si="53"/>
        <v>1000</v>
      </c>
      <c r="M67" s="68"/>
      <c r="N67" s="119">
        <v>400</v>
      </c>
      <c r="O67" s="119"/>
      <c r="P67" s="68">
        <f t="shared" si="54"/>
        <v>1400</v>
      </c>
      <c r="Q67" s="68"/>
      <c r="R67" s="92">
        <f>400+400</f>
        <v>800</v>
      </c>
      <c r="S67" s="92"/>
      <c r="T67" s="68">
        <f t="shared" si="55"/>
        <v>2200</v>
      </c>
      <c r="U67" s="68"/>
      <c r="V67" s="92">
        <v>200</v>
      </c>
      <c r="W67" s="92"/>
      <c r="X67" s="68">
        <f t="shared" si="56"/>
        <v>2400</v>
      </c>
      <c r="Y67" s="68"/>
      <c r="Z67" s="92">
        <f>400+800</f>
        <v>1200</v>
      </c>
      <c r="AA67" s="92"/>
      <c r="AB67" s="68">
        <f t="shared" si="57"/>
        <v>3600</v>
      </c>
      <c r="AC67" s="68"/>
      <c r="AD67" s="91">
        <f>400+400</f>
        <v>800</v>
      </c>
      <c r="AE67" s="91"/>
      <c r="AF67" s="68">
        <f t="shared" si="58"/>
        <v>4400</v>
      </c>
      <c r="AG67" s="68"/>
      <c r="AH67" s="91">
        <v>400</v>
      </c>
      <c r="AI67" s="91"/>
      <c r="AJ67" s="68">
        <f t="shared" si="59"/>
        <v>4800</v>
      </c>
      <c r="AK67" s="68"/>
      <c r="AL67" s="91">
        <v>600</v>
      </c>
      <c r="AM67" s="91"/>
      <c r="AN67" s="68">
        <f t="shared" si="60"/>
        <v>5400</v>
      </c>
      <c r="AO67" s="68"/>
      <c r="AP67" s="91">
        <v>200</v>
      </c>
      <c r="AQ67" s="91"/>
      <c r="AR67" s="62">
        <f t="shared" si="40"/>
        <v>5600</v>
      </c>
      <c r="AS67" s="68">
        <v>0</v>
      </c>
      <c r="AT67" s="91"/>
      <c r="AU67" s="91"/>
      <c r="AV67" s="68">
        <f t="shared" si="61"/>
        <v>5600</v>
      </c>
      <c r="AW67" s="68"/>
      <c r="AX67" s="91">
        <v>400</v>
      </c>
      <c r="AY67" s="91"/>
      <c r="AZ67" s="68">
        <f t="shared" si="62"/>
        <v>6000</v>
      </c>
      <c r="BA67" s="68"/>
      <c r="BB67" s="91">
        <v>800</v>
      </c>
      <c r="BC67" s="91"/>
      <c r="BD67" s="68">
        <f t="shared" si="63"/>
        <v>6800</v>
      </c>
      <c r="BE67" s="68"/>
      <c r="BF67" s="91">
        <v>800</v>
      </c>
      <c r="BG67" s="91"/>
      <c r="BH67" s="68">
        <f t="shared" si="64"/>
        <v>7600</v>
      </c>
      <c r="BI67" s="68"/>
      <c r="BJ67" s="91">
        <v>1000</v>
      </c>
      <c r="BK67" s="91"/>
      <c r="BL67" s="68">
        <f t="shared" si="65"/>
        <v>8600</v>
      </c>
      <c r="BM67" s="68"/>
      <c r="BN67" s="91">
        <v>2200</v>
      </c>
      <c r="BO67" s="91"/>
      <c r="BP67" s="68">
        <f t="shared" si="66"/>
        <v>10800</v>
      </c>
      <c r="BQ67" s="68"/>
      <c r="BR67" s="68"/>
      <c r="BS67" s="68"/>
      <c r="BT67" s="68">
        <f>D67+BR67-BS67</f>
        <v>0</v>
      </c>
      <c r="BU67" s="68"/>
      <c r="BV67" s="31"/>
      <c r="BW67" s="32"/>
      <c r="BX67" s="27"/>
      <c r="BY67" s="32"/>
      <c r="BZ67" s="32">
        <f t="shared" si="52"/>
        <v>0</v>
      </c>
      <c r="CA67" s="32">
        <f t="shared" si="48"/>
        <v>0</v>
      </c>
      <c r="CB67" s="32"/>
      <c r="CC67" s="32"/>
      <c r="CD67" s="32">
        <f t="shared" ref="CD67:CD88" si="67">BZ67</f>
        <v>0</v>
      </c>
      <c r="CE67" s="32"/>
      <c r="CF67" s="32"/>
      <c r="CG67" s="32"/>
    </row>
    <row r="68" spans="1:85" ht="24" x14ac:dyDescent="0.55000000000000004">
      <c r="A68" s="61">
        <v>62</v>
      </c>
      <c r="B68" s="81" t="s">
        <v>150</v>
      </c>
      <c r="C68" s="67"/>
      <c r="D68" s="68"/>
      <c r="E68" s="68"/>
      <c r="F68" s="119">
        <v>1900</v>
      </c>
      <c r="G68" s="91"/>
      <c r="H68" s="62">
        <f t="shared" si="0"/>
        <v>1900</v>
      </c>
      <c r="I68" s="68"/>
      <c r="J68" s="119">
        <f>300+300+500</f>
        <v>1100</v>
      </c>
      <c r="K68" s="119"/>
      <c r="L68" s="68">
        <f t="shared" si="53"/>
        <v>3000</v>
      </c>
      <c r="M68" s="68"/>
      <c r="N68" s="91"/>
      <c r="O68" s="91"/>
      <c r="P68" s="68">
        <f t="shared" si="54"/>
        <v>3000</v>
      </c>
      <c r="Q68" s="68"/>
      <c r="R68" s="92">
        <f>300+500+500+500</f>
        <v>1800</v>
      </c>
      <c r="S68" s="92"/>
      <c r="T68" s="68">
        <f t="shared" si="55"/>
        <v>4800</v>
      </c>
      <c r="U68" s="68"/>
      <c r="V68" s="92">
        <f>500+500+300</f>
        <v>1300</v>
      </c>
      <c r="W68" s="92"/>
      <c r="X68" s="68">
        <f t="shared" si="56"/>
        <v>6100</v>
      </c>
      <c r="Y68" s="68"/>
      <c r="Z68" s="92">
        <f>500+300+500</f>
        <v>1300</v>
      </c>
      <c r="AA68" s="92"/>
      <c r="AB68" s="68">
        <f t="shared" si="57"/>
        <v>7400</v>
      </c>
      <c r="AC68" s="68"/>
      <c r="AD68" s="91">
        <f>500+1000</f>
        <v>1500</v>
      </c>
      <c r="AE68" s="91"/>
      <c r="AF68" s="68">
        <f t="shared" si="58"/>
        <v>8900</v>
      </c>
      <c r="AG68" s="68"/>
      <c r="AH68" s="91">
        <f>800+500</f>
        <v>1300</v>
      </c>
      <c r="AI68" s="91"/>
      <c r="AJ68" s="68">
        <f t="shared" si="59"/>
        <v>10200</v>
      </c>
      <c r="AK68" s="68"/>
      <c r="AL68" s="91">
        <f>300+300+300+300+500+300</f>
        <v>2000</v>
      </c>
      <c r="AM68" s="91"/>
      <c r="AN68" s="68">
        <f t="shared" si="60"/>
        <v>12200</v>
      </c>
      <c r="AO68" s="68"/>
      <c r="AP68" s="91">
        <v>500</v>
      </c>
      <c r="AQ68" s="91"/>
      <c r="AR68" s="62">
        <f t="shared" si="40"/>
        <v>12700</v>
      </c>
      <c r="AS68" s="68">
        <v>0</v>
      </c>
      <c r="AT68" s="92">
        <f>1100+300</f>
        <v>1400</v>
      </c>
      <c r="AU68" s="91"/>
      <c r="AV68" s="68">
        <f t="shared" si="61"/>
        <v>14100</v>
      </c>
      <c r="AW68" s="68"/>
      <c r="AX68" s="91">
        <f>300+300+500</f>
        <v>1100</v>
      </c>
      <c r="AY68" s="91"/>
      <c r="AZ68" s="68">
        <f t="shared" si="62"/>
        <v>15200</v>
      </c>
      <c r="BA68" s="68"/>
      <c r="BB68" s="91">
        <v>1300</v>
      </c>
      <c r="BC68" s="91"/>
      <c r="BD68" s="68">
        <f t="shared" si="63"/>
        <v>16500</v>
      </c>
      <c r="BE68" s="68"/>
      <c r="BF68" s="91">
        <v>800</v>
      </c>
      <c r="BG68" s="91"/>
      <c r="BH68" s="68">
        <f t="shared" si="64"/>
        <v>17300</v>
      </c>
      <c r="BI68" s="68"/>
      <c r="BJ68" s="91">
        <v>1100</v>
      </c>
      <c r="BK68" s="91"/>
      <c r="BL68" s="68">
        <f t="shared" si="65"/>
        <v>18400</v>
      </c>
      <c r="BM68" s="68"/>
      <c r="BN68" s="91">
        <v>900</v>
      </c>
      <c r="BO68" s="91"/>
      <c r="BP68" s="68">
        <f t="shared" si="66"/>
        <v>19300</v>
      </c>
      <c r="BQ68" s="68"/>
      <c r="BR68" s="68"/>
      <c r="BS68" s="68"/>
      <c r="BT68" s="68"/>
      <c r="BU68" s="68"/>
      <c r="BV68" s="31"/>
      <c r="BW68" s="32"/>
      <c r="BX68" s="27"/>
      <c r="BY68" s="32"/>
      <c r="BZ68" s="32"/>
      <c r="CA68" s="32"/>
      <c r="CB68" s="32"/>
      <c r="CC68" s="32"/>
      <c r="CD68" s="32"/>
      <c r="CE68" s="32"/>
      <c r="CF68" s="32"/>
      <c r="CG68" s="32"/>
    </row>
    <row r="69" spans="1:85" ht="24" x14ac:dyDescent="0.55000000000000004">
      <c r="A69" s="61">
        <v>63</v>
      </c>
      <c r="B69" s="81" t="s">
        <v>17</v>
      </c>
      <c r="C69" s="67">
        <v>309</v>
      </c>
      <c r="D69" s="68">
        <f>+'กระดาษทำการ 30 เม.ย.58'!BP69</f>
        <v>0</v>
      </c>
      <c r="E69" s="68">
        <f>+'กระดาษทำการ 30 เม.ย.58'!BQ69</f>
        <v>0</v>
      </c>
      <c r="F69" s="91"/>
      <c r="G69" s="91"/>
      <c r="H69" s="62">
        <f t="shared" si="0"/>
        <v>0</v>
      </c>
      <c r="I69" s="68"/>
      <c r="J69" s="119">
        <f>750+750</f>
        <v>1500</v>
      </c>
      <c r="K69" s="119"/>
      <c r="L69" s="68">
        <f t="shared" si="53"/>
        <v>1500</v>
      </c>
      <c r="M69" s="68"/>
      <c r="N69" s="119">
        <v>750</v>
      </c>
      <c r="O69" s="119"/>
      <c r="P69" s="68">
        <f t="shared" si="54"/>
        <v>2250</v>
      </c>
      <c r="Q69" s="68"/>
      <c r="R69" s="91"/>
      <c r="S69" s="91"/>
      <c r="T69" s="68">
        <f t="shared" si="55"/>
        <v>2250</v>
      </c>
      <c r="U69" s="68"/>
      <c r="V69" s="91"/>
      <c r="W69" s="91"/>
      <c r="X69" s="68">
        <f>+T69+V69-W69</f>
        <v>2250</v>
      </c>
      <c r="Y69" s="68"/>
      <c r="Z69" s="92">
        <v>1200</v>
      </c>
      <c r="AA69" s="92"/>
      <c r="AB69" s="68">
        <f t="shared" si="57"/>
        <v>3450</v>
      </c>
      <c r="AC69" s="68"/>
      <c r="AD69" s="91"/>
      <c r="AE69" s="91"/>
      <c r="AF69" s="68">
        <f t="shared" si="58"/>
        <v>3450</v>
      </c>
      <c r="AG69" s="68"/>
      <c r="AH69" s="91"/>
      <c r="AI69" s="91"/>
      <c r="AJ69" s="68">
        <f t="shared" si="59"/>
        <v>3450</v>
      </c>
      <c r="AK69" s="68"/>
      <c r="AL69" s="91">
        <v>900</v>
      </c>
      <c r="AM69" s="91"/>
      <c r="AN69" s="68">
        <f t="shared" si="60"/>
        <v>4350</v>
      </c>
      <c r="AO69" s="68"/>
      <c r="AP69" s="91">
        <v>3000</v>
      </c>
      <c r="AQ69" s="91"/>
      <c r="AR69" s="62">
        <f t="shared" si="40"/>
        <v>7350</v>
      </c>
      <c r="AS69" s="68">
        <v>0</v>
      </c>
      <c r="AT69" s="92">
        <f>1050+1050</f>
        <v>2100</v>
      </c>
      <c r="AU69" s="91"/>
      <c r="AV69" s="68">
        <f t="shared" si="61"/>
        <v>9450</v>
      </c>
      <c r="AW69" s="68"/>
      <c r="AX69" s="91">
        <f>1200+750</f>
        <v>1950</v>
      </c>
      <c r="AY69" s="91"/>
      <c r="AZ69" s="68">
        <f t="shared" si="62"/>
        <v>11400</v>
      </c>
      <c r="BA69" s="68"/>
      <c r="BB69" s="91"/>
      <c r="BC69" s="91"/>
      <c r="BD69" s="68">
        <f t="shared" si="63"/>
        <v>11400</v>
      </c>
      <c r="BE69" s="68"/>
      <c r="BF69" s="91">
        <v>1050</v>
      </c>
      <c r="BG69" s="91"/>
      <c r="BH69" s="68">
        <f t="shared" si="64"/>
        <v>12450</v>
      </c>
      <c r="BI69" s="68"/>
      <c r="BJ69" s="91">
        <v>750</v>
      </c>
      <c r="BK69" s="91"/>
      <c r="BL69" s="68">
        <f t="shared" si="65"/>
        <v>13200</v>
      </c>
      <c r="BM69" s="68"/>
      <c r="BN69" s="91">
        <v>1050</v>
      </c>
      <c r="BO69" s="91"/>
      <c r="BP69" s="68">
        <f t="shared" si="66"/>
        <v>14250</v>
      </c>
      <c r="BQ69" s="68"/>
      <c r="BR69" s="68"/>
      <c r="BS69" s="68"/>
      <c r="BT69" s="68">
        <f t="shared" ref="BT69:BT75" si="68">D69+BR69-BS69</f>
        <v>0</v>
      </c>
      <c r="BU69" s="68"/>
      <c r="BV69" s="31"/>
      <c r="BW69" s="32"/>
      <c r="BX69" s="27"/>
      <c r="BY69" s="32"/>
      <c r="BZ69" s="32">
        <f t="shared" si="52"/>
        <v>0</v>
      </c>
      <c r="CA69" s="32">
        <f t="shared" si="48"/>
        <v>0</v>
      </c>
      <c r="CB69" s="32"/>
      <c r="CC69" s="32"/>
      <c r="CD69" s="32">
        <f t="shared" si="67"/>
        <v>0</v>
      </c>
      <c r="CE69" s="32"/>
      <c r="CF69" s="32"/>
      <c r="CG69" s="32"/>
    </row>
    <row r="70" spans="1:85" ht="24" x14ac:dyDescent="0.55000000000000004">
      <c r="A70" s="61">
        <v>64</v>
      </c>
      <c r="B70" s="81" t="s">
        <v>14</v>
      </c>
      <c r="C70" s="67">
        <v>319</v>
      </c>
      <c r="D70" s="68">
        <f>+'กระดาษทำการ 30 เม.ย.58'!BP70</f>
        <v>0</v>
      </c>
      <c r="E70" s="68">
        <f>+'กระดาษทำการ 30 เม.ย.58'!BQ70</f>
        <v>0</v>
      </c>
      <c r="F70" s="91">
        <v>990</v>
      </c>
      <c r="G70" s="91"/>
      <c r="H70" s="62">
        <f t="shared" si="0"/>
        <v>990</v>
      </c>
      <c r="I70" s="68"/>
      <c r="J70" s="91">
        <v>1700</v>
      </c>
      <c r="K70" s="91"/>
      <c r="L70" s="68">
        <f>+H70+J70-K70</f>
        <v>2690</v>
      </c>
      <c r="M70" s="68"/>
      <c r="N70" s="119">
        <f>200+350</f>
        <v>550</v>
      </c>
      <c r="O70" s="119"/>
      <c r="P70" s="68">
        <f t="shared" si="54"/>
        <v>3240</v>
      </c>
      <c r="Q70" s="68"/>
      <c r="R70" s="92">
        <v>20</v>
      </c>
      <c r="S70" s="92"/>
      <c r="T70" s="68">
        <f t="shared" si="55"/>
        <v>3260</v>
      </c>
      <c r="U70" s="68"/>
      <c r="V70" s="92">
        <f>500+840</f>
        <v>1340</v>
      </c>
      <c r="W70" s="92"/>
      <c r="X70" s="68">
        <f t="shared" si="56"/>
        <v>4600</v>
      </c>
      <c r="Y70" s="68"/>
      <c r="Z70" s="92">
        <f>500+870</f>
        <v>1370</v>
      </c>
      <c r="AA70" s="92"/>
      <c r="AB70" s="68">
        <f t="shared" si="57"/>
        <v>5970</v>
      </c>
      <c r="AC70" s="68"/>
      <c r="AD70" s="91">
        <f>1700+500</f>
        <v>2200</v>
      </c>
      <c r="AE70" s="91"/>
      <c r="AF70" s="68">
        <f t="shared" si="58"/>
        <v>8170</v>
      </c>
      <c r="AG70" s="68"/>
      <c r="AH70" s="91"/>
      <c r="AI70" s="91"/>
      <c r="AJ70" s="68">
        <f t="shared" si="59"/>
        <v>8170</v>
      </c>
      <c r="AK70" s="68"/>
      <c r="AL70" s="91">
        <v>690</v>
      </c>
      <c r="AM70" s="91"/>
      <c r="AN70" s="68">
        <f t="shared" si="60"/>
        <v>8860</v>
      </c>
      <c r="AO70" s="68"/>
      <c r="AP70" s="91">
        <v>300</v>
      </c>
      <c r="AQ70" s="91"/>
      <c r="AR70" s="62">
        <f t="shared" si="40"/>
        <v>9160</v>
      </c>
      <c r="AS70" s="68">
        <v>0</v>
      </c>
      <c r="AT70" s="92">
        <v>250</v>
      </c>
      <c r="AU70" s="91"/>
      <c r="AV70" s="68">
        <f t="shared" si="61"/>
        <v>9410</v>
      </c>
      <c r="AW70" s="68"/>
      <c r="AX70" s="91">
        <v>350</v>
      </c>
      <c r="AY70" s="91"/>
      <c r="AZ70" s="68">
        <f t="shared" si="62"/>
        <v>9760</v>
      </c>
      <c r="BA70" s="68"/>
      <c r="BB70" s="91"/>
      <c r="BC70" s="91"/>
      <c r="BD70" s="68">
        <f t="shared" si="63"/>
        <v>9760</v>
      </c>
      <c r="BE70" s="68"/>
      <c r="BF70" s="91">
        <v>550</v>
      </c>
      <c r="BG70" s="91"/>
      <c r="BH70" s="68">
        <f t="shared" si="64"/>
        <v>10310</v>
      </c>
      <c r="BI70" s="68"/>
      <c r="BJ70" s="91"/>
      <c r="BK70" s="91"/>
      <c r="BL70" s="68">
        <f t="shared" si="65"/>
        <v>10310</v>
      </c>
      <c r="BM70" s="68"/>
      <c r="BN70" s="91">
        <v>623</v>
      </c>
      <c r="BO70" s="91"/>
      <c r="BP70" s="68">
        <f t="shared" si="66"/>
        <v>10933</v>
      </c>
      <c r="BQ70" s="68"/>
      <c r="BR70" s="68"/>
      <c r="BS70" s="68"/>
      <c r="BT70" s="68">
        <f t="shared" si="68"/>
        <v>0</v>
      </c>
      <c r="BU70" s="68"/>
      <c r="BV70" s="31">
        <v>15</v>
      </c>
      <c r="BW70" s="32">
        <v>40</v>
      </c>
      <c r="BX70" s="27"/>
      <c r="BY70" s="32"/>
      <c r="BZ70" s="32">
        <f t="shared" si="52"/>
        <v>40</v>
      </c>
      <c r="CA70" s="32"/>
      <c r="CB70" s="32"/>
      <c r="CC70" s="32"/>
      <c r="CD70" s="32">
        <f t="shared" si="67"/>
        <v>40</v>
      </c>
      <c r="CE70" s="32"/>
      <c r="CF70" s="32"/>
      <c r="CG70" s="32"/>
    </row>
    <row r="71" spans="1:85" ht="24" x14ac:dyDescent="0.55000000000000004">
      <c r="A71" s="61">
        <v>66</v>
      </c>
      <c r="B71" s="81" t="s">
        <v>72</v>
      </c>
      <c r="C71" s="67">
        <v>345</v>
      </c>
      <c r="D71" s="68">
        <f>+'กระดาษทำการ 30 เม.ย.58'!BP71</f>
        <v>0</v>
      </c>
      <c r="E71" s="68">
        <f>+'กระดาษทำการ 30 เม.ย.58'!BQ71</f>
        <v>0</v>
      </c>
      <c r="F71" s="91">
        <v>111</v>
      </c>
      <c r="G71" s="91"/>
      <c r="H71" s="62">
        <f t="shared" si="0"/>
        <v>111</v>
      </c>
      <c r="I71" s="68"/>
      <c r="J71" s="91"/>
      <c r="K71" s="91"/>
      <c r="L71" s="68">
        <f t="shared" si="53"/>
        <v>111</v>
      </c>
      <c r="M71" s="68"/>
      <c r="N71" s="91"/>
      <c r="O71" s="91"/>
      <c r="P71" s="68">
        <f t="shared" si="54"/>
        <v>111</v>
      </c>
      <c r="Q71" s="68"/>
      <c r="R71" s="91"/>
      <c r="S71" s="91"/>
      <c r="T71" s="68">
        <f t="shared" si="55"/>
        <v>111</v>
      </c>
      <c r="U71" s="68"/>
      <c r="V71" s="92">
        <v>47</v>
      </c>
      <c r="W71" s="92"/>
      <c r="X71" s="68">
        <f t="shared" si="56"/>
        <v>158</v>
      </c>
      <c r="Y71" s="68"/>
      <c r="Z71" s="91"/>
      <c r="AA71" s="91"/>
      <c r="AB71" s="68">
        <f t="shared" si="57"/>
        <v>158</v>
      </c>
      <c r="AC71" s="68"/>
      <c r="AD71" s="91"/>
      <c r="AE71" s="91"/>
      <c r="AF71" s="68">
        <f t="shared" si="58"/>
        <v>158</v>
      </c>
      <c r="AG71" s="68"/>
      <c r="AH71" s="91"/>
      <c r="AI71" s="91"/>
      <c r="AJ71" s="68">
        <f t="shared" si="59"/>
        <v>158</v>
      </c>
      <c r="AK71" s="68"/>
      <c r="AL71" s="91">
        <v>40</v>
      </c>
      <c r="AM71" s="91"/>
      <c r="AN71" s="68">
        <f t="shared" si="60"/>
        <v>198</v>
      </c>
      <c r="AO71" s="68"/>
      <c r="AP71" s="91"/>
      <c r="AQ71" s="91"/>
      <c r="AR71" s="62">
        <f t="shared" si="40"/>
        <v>198</v>
      </c>
      <c r="AS71" s="68">
        <f t="shared" ref="AS71:AS99" si="69">+AO71+AQ71-AP71</f>
        <v>0</v>
      </c>
      <c r="AT71" s="92">
        <v>20</v>
      </c>
      <c r="AU71" s="91"/>
      <c r="AV71" s="68">
        <f>+AR71+AT71-AU71</f>
        <v>218</v>
      </c>
      <c r="AW71" s="68"/>
      <c r="AX71" s="91"/>
      <c r="AY71" s="91"/>
      <c r="AZ71" s="68">
        <f t="shared" si="62"/>
        <v>218</v>
      </c>
      <c r="BA71" s="68"/>
      <c r="BB71" s="91"/>
      <c r="BC71" s="91"/>
      <c r="BD71" s="68">
        <f t="shared" si="63"/>
        <v>218</v>
      </c>
      <c r="BE71" s="68"/>
      <c r="BF71" s="91"/>
      <c r="BG71" s="91"/>
      <c r="BH71" s="68">
        <f t="shared" si="64"/>
        <v>218</v>
      </c>
      <c r="BI71" s="68"/>
      <c r="BJ71" s="91"/>
      <c r="BK71" s="91"/>
      <c r="BL71" s="68">
        <f t="shared" si="65"/>
        <v>218</v>
      </c>
      <c r="BM71" s="68"/>
      <c r="BN71" s="91"/>
      <c r="BO71" s="91"/>
      <c r="BP71" s="68">
        <f t="shared" si="66"/>
        <v>218</v>
      </c>
      <c r="BQ71" s="68"/>
      <c r="BR71" s="68"/>
      <c r="BS71" s="68"/>
      <c r="BT71" s="68">
        <f t="shared" si="68"/>
        <v>0</v>
      </c>
      <c r="BU71" s="68"/>
      <c r="BV71" s="31"/>
      <c r="BW71" s="32"/>
      <c r="BX71" s="27"/>
      <c r="BY71" s="32"/>
      <c r="BZ71" s="32">
        <f t="shared" si="52"/>
        <v>0</v>
      </c>
      <c r="CA71" s="32">
        <f t="shared" si="48"/>
        <v>0</v>
      </c>
      <c r="CB71" s="32"/>
      <c r="CC71" s="32"/>
      <c r="CD71" s="32">
        <f t="shared" si="67"/>
        <v>0</v>
      </c>
      <c r="CE71" s="32"/>
      <c r="CF71" s="32"/>
      <c r="CG71" s="32"/>
    </row>
    <row r="72" spans="1:85" ht="24" x14ac:dyDescent="0.55000000000000004">
      <c r="A72" s="61">
        <v>67</v>
      </c>
      <c r="B72" s="81" t="s">
        <v>73</v>
      </c>
      <c r="C72" s="67">
        <v>325</v>
      </c>
      <c r="D72" s="68">
        <f>+'กระดาษทำการ 30 เม.ย.58'!BP72</f>
        <v>0</v>
      </c>
      <c r="E72" s="68">
        <f>+'กระดาษทำการ 30 เม.ย.58'!BQ72</f>
        <v>0</v>
      </c>
      <c r="F72" s="91"/>
      <c r="G72" s="91"/>
      <c r="H72" s="68">
        <f t="shared" si="0"/>
        <v>0</v>
      </c>
      <c r="I72" s="68"/>
      <c r="J72" s="91"/>
      <c r="K72" s="91"/>
      <c r="L72" s="68">
        <f t="shared" si="53"/>
        <v>0</v>
      </c>
      <c r="M72" s="68"/>
      <c r="N72" s="91"/>
      <c r="O72" s="91"/>
      <c r="P72" s="68">
        <f t="shared" si="54"/>
        <v>0</v>
      </c>
      <c r="Q72" s="68"/>
      <c r="R72" s="91"/>
      <c r="S72" s="91"/>
      <c r="T72" s="68">
        <f t="shared" si="55"/>
        <v>0</v>
      </c>
      <c r="U72" s="68"/>
      <c r="V72" s="92">
        <v>1600</v>
      </c>
      <c r="W72" s="92"/>
      <c r="X72" s="68">
        <f t="shared" si="56"/>
        <v>1600</v>
      </c>
      <c r="Y72" s="68"/>
      <c r="Z72" s="91"/>
      <c r="AA72" s="91"/>
      <c r="AB72" s="68">
        <f t="shared" si="57"/>
        <v>1600</v>
      </c>
      <c r="AC72" s="68"/>
      <c r="AD72" s="91"/>
      <c r="AE72" s="91"/>
      <c r="AF72" s="68">
        <f t="shared" si="58"/>
        <v>1600</v>
      </c>
      <c r="AG72" s="68"/>
      <c r="AH72" s="91"/>
      <c r="AI72" s="91"/>
      <c r="AJ72" s="68">
        <f t="shared" si="59"/>
        <v>1600</v>
      </c>
      <c r="AK72" s="68"/>
      <c r="AL72" s="91"/>
      <c r="AM72" s="91"/>
      <c r="AN72" s="68">
        <f t="shared" si="60"/>
        <v>1600</v>
      </c>
      <c r="AO72" s="68"/>
      <c r="AP72" s="91"/>
      <c r="AQ72" s="91"/>
      <c r="AR72" s="68">
        <f t="shared" si="40"/>
        <v>1600</v>
      </c>
      <c r="AS72" s="68">
        <f t="shared" si="69"/>
        <v>0</v>
      </c>
      <c r="AT72" s="91"/>
      <c r="AU72" s="91"/>
      <c r="AV72" s="68">
        <f t="shared" si="61"/>
        <v>1600</v>
      </c>
      <c r="AW72" s="68"/>
      <c r="AX72" s="91"/>
      <c r="AY72" s="91"/>
      <c r="AZ72" s="68">
        <f t="shared" si="62"/>
        <v>1600</v>
      </c>
      <c r="BA72" s="68"/>
      <c r="BB72" s="91"/>
      <c r="BC72" s="91"/>
      <c r="BD72" s="68">
        <f t="shared" si="63"/>
        <v>1600</v>
      </c>
      <c r="BE72" s="68"/>
      <c r="BF72" s="91"/>
      <c r="BG72" s="91"/>
      <c r="BH72" s="68">
        <f t="shared" si="64"/>
        <v>1600</v>
      </c>
      <c r="BI72" s="68"/>
      <c r="BJ72" s="91"/>
      <c r="BK72" s="91"/>
      <c r="BL72" s="68">
        <f t="shared" si="65"/>
        <v>1600</v>
      </c>
      <c r="BM72" s="68"/>
      <c r="BN72" s="91"/>
      <c r="BO72" s="91"/>
      <c r="BP72" s="68">
        <f t="shared" si="66"/>
        <v>1600</v>
      </c>
      <c r="BQ72" s="68"/>
      <c r="BR72" s="68"/>
      <c r="BS72" s="68"/>
      <c r="BT72" s="68">
        <f t="shared" si="68"/>
        <v>0</v>
      </c>
      <c r="BU72" s="68"/>
      <c r="BV72" s="31"/>
      <c r="BW72" s="32"/>
      <c r="BX72" s="27"/>
      <c r="BY72" s="32"/>
      <c r="BZ72" s="32">
        <f t="shared" si="52"/>
        <v>0</v>
      </c>
      <c r="CA72" s="32">
        <f t="shared" si="48"/>
        <v>0</v>
      </c>
      <c r="CB72" s="32"/>
      <c r="CC72" s="32"/>
      <c r="CD72" s="32">
        <f t="shared" si="67"/>
        <v>0</v>
      </c>
      <c r="CE72" s="32"/>
      <c r="CF72" s="32"/>
      <c r="CG72" s="32"/>
    </row>
    <row r="73" spans="1:85" x14ac:dyDescent="0.5">
      <c r="A73" s="61">
        <v>68</v>
      </c>
      <c r="B73" s="81" t="s">
        <v>15</v>
      </c>
      <c r="C73" s="67">
        <v>327</v>
      </c>
      <c r="D73" s="68">
        <f>+'กระดาษทำการ 30 เม.ย.58'!BP73</f>
        <v>0</v>
      </c>
      <c r="E73" s="68">
        <f>+'กระดาษทำการ 30 เม.ย.58'!BQ73</f>
        <v>0</v>
      </c>
      <c r="F73" s="91">
        <v>1835</v>
      </c>
      <c r="G73" s="91"/>
      <c r="H73" s="68">
        <f t="shared" si="0"/>
        <v>1835</v>
      </c>
      <c r="I73" s="68"/>
      <c r="J73" s="91"/>
      <c r="K73" s="91"/>
      <c r="L73" s="68">
        <f>+H73+J73-K73</f>
        <v>1835</v>
      </c>
      <c r="M73" s="68"/>
      <c r="N73" s="119">
        <v>400</v>
      </c>
      <c r="O73" s="119"/>
      <c r="P73" s="68">
        <f>+L73+N73-O73</f>
        <v>2235</v>
      </c>
      <c r="Q73" s="68"/>
      <c r="R73" s="91"/>
      <c r="S73" s="91"/>
      <c r="T73" s="68">
        <f t="shared" si="55"/>
        <v>2235</v>
      </c>
      <c r="U73" s="68"/>
      <c r="V73" s="91"/>
      <c r="W73" s="91"/>
      <c r="X73" s="68">
        <f>+T73+V73-W73</f>
        <v>2235</v>
      </c>
      <c r="Y73" s="68"/>
      <c r="Z73" s="91"/>
      <c r="AA73" s="91"/>
      <c r="AB73" s="68">
        <f t="shared" si="57"/>
        <v>2235</v>
      </c>
      <c r="AC73" s="68"/>
      <c r="AD73" s="91">
        <v>380</v>
      </c>
      <c r="AE73" s="91"/>
      <c r="AF73" s="68">
        <f t="shared" si="58"/>
        <v>2615</v>
      </c>
      <c r="AG73" s="68"/>
      <c r="AH73" s="91"/>
      <c r="AI73" s="91"/>
      <c r="AJ73" s="68">
        <f t="shared" si="59"/>
        <v>2615</v>
      </c>
      <c r="AK73" s="68"/>
      <c r="AL73" s="91"/>
      <c r="AM73" s="91"/>
      <c r="AN73" s="68">
        <f t="shared" si="60"/>
        <v>2615</v>
      </c>
      <c r="AO73" s="68"/>
      <c r="AP73" s="91"/>
      <c r="AQ73" s="91"/>
      <c r="AR73" s="62">
        <f t="shared" si="40"/>
        <v>2615</v>
      </c>
      <c r="AS73" s="68">
        <f t="shared" si="69"/>
        <v>0</v>
      </c>
      <c r="AT73" s="91">
        <v>225</v>
      </c>
      <c r="AU73" s="91"/>
      <c r="AV73" s="68">
        <f t="shared" si="61"/>
        <v>2840</v>
      </c>
      <c r="AW73" s="68"/>
      <c r="AX73" s="91">
        <v>175</v>
      </c>
      <c r="AY73" s="91"/>
      <c r="AZ73" s="68">
        <f t="shared" si="62"/>
        <v>3015</v>
      </c>
      <c r="BA73" s="68"/>
      <c r="BB73" s="91"/>
      <c r="BC73" s="91"/>
      <c r="BD73" s="68">
        <f t="shared" si="63"/>
        <v>3015</v>
      </c>
      <c r="BE73" s="68"/>
      <c r="BF73" s="91"/>
      <c r="BG73" s="91"/>
      <c r="BH73" s="68">
        <f t="shared" si="64"/>
        <v>3015</v>
      </c>
      <c r="BI73" s="68"/>
      <c r="BJ73" s="91"/>
      <c r="BK73" s="91"/>
      <c r="BL73" s="68">
        <f t="shared" si="65"/>
        <v>3015</v>
      </c>
      <c r="BM73" s="68"/>
      <c r="BN73" s="91"/>
      <c r="BO73" s="91"/>
      <c r="BP73" s="68">
        <f t="shared" si="66"/>
        <v>3015</v>
      </c>
      <c r="BQ73" s="68"/>
      <c r="BR73" s="68"/>
      <c r="BS73" s="68"/>
      <c r="BT73" s="68">
        <f t="shared" si="68"/>
        <v>0</v>
      </c>
      <c r="BU73" s="68"/>
      <c r="BV73" s="31"/>
      <c r="BW73" s="32"/>
      <c r="BX73" s="27"/>
      <c r="BY73" s="32"/>
      <c r="BZ73" s="32">
        <f t="shared" si="52"/>
        <v>0</v>
      </c>
      <c r="CA73" s="32">
        <f t="shared" si="48"/>
        <v>0</v>
      </c>
      <c r="CB73" s="32"/>
      <c r="CC73" s="32"/>
      <c r="CD73" s="32">
        <f t="shared" si="67"/>
        <v>0</v>
      </c>
      <c r="CE73" s="32"/>
      <c r="CF73" s="32"/>
      <c r="CG73" s="32"/>
    </row>
    <row r="74" spans="1:85" x14ac:dyDescent="0.5">
      <c r="A74" s="61">
        <v>69</v>
      </c>
      <c r="B74" s="81" t="s">
        <v>74</v>
      </c>
      <c r="C74" s="67">
        <v>329</v>
      </c>
      <c r="D74" s="68">
        <f>+'กระดาษทำการ 30 เม.ย.58'!BP74</f>
        <v>0</v>
      </c>
      <c r="E74" s="68">
        <f>+'กระดาษทำการ 30 เม.ย.58'!BQ74</f>
        <v>0</v>
      </c>
      <c r="F74" s="91"/>
      <c r="G74" s="91"/>
      <c r="H74" s="62">
        <f t="shared" si="0"/>
        <v>0</v>
      </c>
      <c r="I74" s="68"/>
      <c r="J74" s="91"/>
      <c r="K74" s="91"/>
      <c r="L74" s="68">
        <f t="shared" si="53"/>
        <v>0</v>
      </c>
      <c r="M74" s="68"/>
      <c r="N74" s="91"/>
      <c r="O74" s="91"/>
      <c r="P74" s="68">
        <f t="shared" si="54"/>
        <v>0</v>
      </c>
      <c r="Q74" s="68"/>
      <c r="R74" s="91"/>
      <c r="S74" s="91"/>
      <c r="T74" s="68">
        <f>+P74+R74-S74</f>
        <v>0</v>
      </c>
      <c r="U74" s="68"/>
      <c r="V74" s="91"/>
      <c r="W74" s="91"/>
      <c r="X74" s="68">
        <f t="shared" si="56"/>
        <v>0</v>
      </c>
      <c r="Y74" s="68"/>
      <c r="Z74" s="91"/>
      <c r="AA74" s="91"/>
      <c r="AB74" s="68">
        <f t="shared" si="57"/>
        <v>0</v>
      </c>
      <c r="AC74" s="68"/>
      <c r="AD74" s="91"/>
      <c r="AE74" s="91"/>
      <c r="AF74" s="68">
        <f t="shared" si="58"/>
        <v>0</v>
      </c>
      <c r="AG74" s="68"/>
      <c r="AH74" s="91"/>
      <c r="AI74" s="91"/>
      <c r="AJ74" s="68">
        <f t="shared" si="59"/>
        <v>0</v>
      </c>
      <c r="AK74" s="68"/>
      <c r="AL74" s="91"/>
      <c r="AM74" s="91"/>
      <c r="AN74" s="68">
        <f t="shared" si="60"/>
        <v>0</v>
      </c>
      <c r="AO74" s="68"/>
      <c r="AP74" s="91"/>
      <c r="AQ74" s="91"/>
      <c r="AR74" s="62">
        <f t="shared" si="40"/>
        <v>0</v>
      </c>
      <c r="AS74" s="68">
        <f t="shared" si="69"/>
        <v>0</v>
      </c>
      <c r="AT74" s="91"/>
      <c r="AU74" s="91"/>
      <c r="AV74" s="68">
        <f t="shared" si="61"/>
        <v>0</v>
      </c>
      <c r="AW74" s="68"/>
      <c r="AX74" s="91"/>
      <c r="AY74" s="91"/>
      <c r="AZ74" s="68">
        <f t="shared" si="62"/>
        <v>0</v>
      </c>
      <c r="BA74" s="68"/>
      <c r="BB74" s="91"/>
      <c r="BC74" s="91"/>
      <c r="BD74" s="68">
        <f t="shared" si="63"/>
        <v>0</v>
      </c>
      <c r="BE74" s="68"/>
      <c r="BF74" s="91"/>
      <c r="BG74" s="91"/>
      <c r="BH74" s="68">
        <f t="shared" si="64"/>
        <v>0</v>
      </c>
      <c r="BI74" s="68"/>
      <c r="BJ74" s="91"/>
      <c r="BK74" s="91"/>
      <c r="BL74" s="68">
        <f t="shared" si="65"/>
        <v>0</v>
      </c>
      <c r="BM74" s="68"/>
      <c r="BN74" s="91"/>
      <c r="BO74" s="91"/>
      <c r="BP74" s="68">
        <f t="shared" si="66"/>
        <v>0</v>
      </c>
      <c r="BQ74" s="68"/>
      <c r="BR74" s="68"/>
      <c r="BS74" s="68"/>
      <c r="BT74" s="68">
        <f t="shared" si="68"/>
        <v>0</v>
      </c>
      <c r="BU74" s="68"/>
      <c r="BV74" s="31"/>
      <c r="BW74" s="32"/>
      <c r="BX74" s="27"/>
      <c r="BY74" s="32"/>
      <c r="BZ74" s="32">
        <f t="shared" si="52"/>
        <v>0</v>
      </c>
      <c r="CA74" s="32">
        <f t="shared" si="48"/>
        <v>0</v>
      </c>
      <c r="CB74" s="32"/>
      <c r="CC74" s="32"/>
      <c r="CD74" s="32">
        <f t="shared" si="67"/>
        <v>0</v>
      </c>
      <c r="CE74" s="32"/>
      <c r="CF74" s="32"/>
      <c r="CG74" s="32"/>
    </row>
    <row r="75" spans="1:85" ht="24" x14ac:dyDescent="0.55000000000000004">
      <c r="A75" s="61">
        <v>70</v>
      </c>
      <c r="B75" s="81" t="s">
        <v>75</v>
      </c>
      <c r="C75" s="67">
        <v>331</v>
      </c>
      <c r="D75" s="68">
        <f>+'กระดาษทำการ 30 เม.ย.58'!BP75</f>
        <v>0</v>
      </c>
      <c r="E75" s="68">
        <f>+'กระดาษทำการ 30 เม.ย.58'!BQ75</f>
        <v>0</v>
      </c>
      <c r="F75" s="119">
        <v>368.5</v>
      </c>
      <c r="G75" s="91"/>
      <c r="H75" s="62">
        <f t="shared" ref="H75:H99" si="70">+D75+F75-G75</f>
        <v>368.5</v>
      </c>
      <c r="I75" s="68"/>
      <c r="J75" s="91"/>
      <c r="K75" s="91"/>
      <c r="L75" s="68">
        <f t="shared" si="53"/>
        <v>368.5</v>
      </c>
      <c r="M75" s="68"/>
      <c r="N75" s="119">
        <f>368.5+368.5</f>
        <v>737</v>
      </c>
      <c r="O75" s="119"/>
      <c r="P75" s="68">
        <f t="shared" si="54"/>
        <v>1105.5</v>
      </c>
      <c r="Q75" s="68"/>
      <c r="R75" s="92">
        <v>368.5</v>
      </c>
      <c r="S75" s="92"/>
      <c r="T75" s="68">
        <f t="shared" si="55"/>
        <v>1474</v>
      </c>
      <c r="U75" s="68"/>
      <c r="V75" s="92">
        <v>368.5</v>
      </c>
      <c r="W75" s="92"/>
      <c r="X75" s="68">
        <f t="shared" si="56"/>
        <v>1842.5</v>
      </c>
      <c r="Y75" s="68"/>
      <c r="Z75" s="92">
        <v>368.5</v>
      </c>
      <c r="AA75" s="92"/>
      <c r="AB75" s="68">
        <f t="shared" si="57"/>
        <v>2211</v>
      </c>
      <c r="AC75" s="68"/>
      <c r="AD75" s="91"/>
      <c r="AE75" s="91"/>
      <c r="AF75" s="68">
        <f t="shared" si="58"/>
        <v>2211</v>
      </c>
      <c r="AG75" s="68"/>
      <c r="AH75" s="91"/>
      <c r="AI75" s="91"/>
      <c r="AJ75" s="68">
        <f t="shared" si="59"/>
        <v>2211</v>
      </c>
      <c r="AK75" s="68"/>
      <c r="AL75" s="91"/>
      <c r="AM75" s="91"/>
      <c r="AN75" s="68">
        <f t="shared" si="60"/>
        <v>2211</v>
      </c>
      <c r="AO75" s="68"/>
      <c r="AP75" s="91"/>
      <c r="AQ75" s="91"/>
      <c r="AR75" s="62">
        <f t="shared" si="40"/>
        <v>2211</v>
      </c>
      <c r="AS75" s="68">
        <f t="shared" si="69"/>
        <v>0</v>
      </c>
      <c r="AT75" s="91"/>
      <c r="AU75" s="91"/>
      <c r="AV75" s="68">
        <f t="shared" si="61"/>
        <v>2211</v>
      </c>
      <c r="AW75" s="68"/>
      <c r="AX75" s="91"/>
      <c r="AY75" s="91"/>
      <c r="AZ75" s="68">
        <f t="shared" si="62"/>
        <v>2211</v>
      </c>
      <c r="BA75" s="68"/>
      <c r="BB75" s="91"/>
      <c r="BC75" s="91"/>
      <c r="BD75" s="68">
        <f t="shared" si="63"/>
        <v>2211</v>
      </c>
      <c r="BE75" s="68"/>
      <c r="BF75" s="91"/>
      <c r="BG75" s="91"/>
      <c r="BH75" s="68">
        <f t="shared" si="64"/>
        <v>2211</v>
      </c>
      <c r="BI75" s="68"/>
      <c r="BJ75" s="91"/>
      <c r="BK75" s="91"/>
      <c r="BL75" s="68">
        <f t="shared" si="65"/>
        <v>2211</v>
      </c>
      <c r="BM75" s="68"/>
      <c r="BN75" s="91"/>
      <c r="BO75" s="91"/>
      <c r="BP75" s="68">
        <f t="shared" si="66"/>
        <v>2211</v>
      </c>
      <c r="BQ75" s="68"/>
      <c r="BR75" s="68"/>
      <c r="BS75" s="68"/>
      <c r="BT75" s="68">
        <f t="shared" si="68"/>
        <v>0</v>
      </c>
      <c r="BU75" s="68"/>
      <c r="BV75" s="31"/>
      <c r="BW75" s="32"/>
      <c r="BX75" s="50" t="s">
        <v>106</v>
      </c>
      <c r="BY75" s="32">
        <f>1105.5+737</f>
        <v>1842.5</v>
      </c>
      <c r="BZ75" s="32">
        <f t="shared" si="52"/>
        <v>-1842.5</v>
      </c>
      <c r="CA75" s="32"/>
      <c r="CB75" s="32"/>
      <c r="CC75" s="32"/>
      <c r="CD75" s="32">
        <f t="shared" si="67"/>
        <v>-1842.5</v>
      </c>
      <c r="CE75" s="32"/>
      <c r="CF75" s="32"/>
      <c r="CG75" s="32"/>
    </row>
    <row r="76" spans="1:85" ht="24" x14ac:dyDescent="0.55000000000000004">
      <c r="A76" s="61">
        <v>71</v>
      </c>
      <c r="B76" s="81" t="s">
        <v>154</v>
      </c>
      <c r="C76" s="67"/>
      <c r="D76" s="68"/>
      <c r="E76" s="68"/>
      <c r="F76" s="119"/>
      <c r="G76" s="91"/>
      <c r="H76" s="68"/>
      <c r="I76" s="68"/>
      <c r="J76" s="91"/>
      <c r="K76" s="91"/>
      <c r="L76" s="68"/>
      <c r="M76" s="68"/>
      <c r="N76" s="119"/>
      <c r="O76" s="119"/>
      <c r="P76" s="68"/>
      <c r="Q76" s="68"/>
      <c r="R76" s="92"/>
      <c r="S76" s="92"/>
      <c r="T76" s="68"/>
      <c r="U76" s="68"/>
      <c r="V76" s="92"/>
      <c r="W76" s="92"/>
      <c r="X76" s="68"/>
      <c r="Y76" s="68"/>
      <c r="Z76" s="92"/>
      <c r="AA76" s="92"/>
      <c r="AB76" s="68"/>
      <c r="AC76" s="68"/>
      <c r="AD76" s="91"/>
      <c r="AE76" s="91"/>
      <c r="AF76" s="68"/>
      <c r="AG76" s="68"/>
      <c r="AH76" s="91">
        <v>46.69</v>
      </c>
      <c r="AI76" s="91"/>
      <c r="AJ76" s="68">
        <f t="shared" si="59"/>
        <v>46.69</v>
      </c>
      <c r="AK76" s="68"/>
      <c r="AL76" s="91"/>
      <c r="AM76" s="91"/>
      <c r="AN76" s="68">
        <f t="shared" si="60"/>
        <v>46.69</v>
      </c>
      <c r="AO76" s="68"/>
      <c r="AP76" s="91"/>
      <c r="AQ76" s="91"/>
      <c r="AR76" s="68">
        <f t="shared" si="40"/>
        <v>46.69</v>
      </c>
      <c r="AS76" s="68">
        <f t="shared" si="69"/>
        <v>0</v>
      </c>
      <c r="AT76" s="91"/>
      <c r="AU76" s="91"/>
      <c r="AV76" s="68">
        <f t="shared" si="61"/>
        <v>46.69</v>
      </c>
      <c r="AW76" s="68"/>
      <c r="AX76" s="91"/>
      <c r="AY76" s="91"/>
      <c r="AZ76" s="68">
        <f t="shared" si="62"/>
        <v>46.69</v>
      </c>
      <c r="BA76" s="68"/>
      <c r="BB76" s="91"/>
      <c r="BC76" s="91"/>
      <c r="BD76" s="68">
        <f t="shared" si="63"/>
        <v>46.69</v>
      </c>
      <c r="BE76" s="68"/>
      <c r="BF76" s="91"/>
      <c r="BG76" s="91"/>
      <c r="BH76" s="68">
        <f t="shared" si="64"/>
        <v>46.69</v>
      </c>
      <c r="BI76" s="68"/>
      <c r="BJ76" s="91"/>
      <c r="BK76" s="91"/>
      <c r="BL76" s="68">
        <f t="shared" si="65"/>
        <v>46.69</v>
      </c>
      <c r="BM76" s="68"/>
      <c r="BN76" s="91"/>
      <c r="BO76" s="91"/>
      <c r="BP76" s="68">
        <f t="shared" si="66"/>
        <v>46.69</v>
      </c>
      <c r="BQ76" s="68"/>
      <c r="BR76" s="68"/>
      <c r="BS76" s="68"/>
      <c r="BT76" s="68"/>
      <c r="BU76" s="68"/>
      <c r="BV76" s="31"/>
      <c r="BW76" s="32"/>
      <c r="BX76" s="50"/>
      <c r="BY76" s="32"/>
      <c r="BZ76" s="32"/>
      <c r="CA76" s="32"/>
      <c r="CB76" s="32"/>
      <c r="CC76" s="32"/>
      <c r="CD76" s="32"/>
      <c r="CE76" s="32"/>
      <c r="CF76" s="32"/>
      <c r="CG76" s="32"/>
    </row>
    <row r="77" spans="1:85" ht="24" x14ac:dyDescent="0.55000000000000004">
      <c r="A77" s="61">
        <v>72</v>
      </c>
      <c r="B77" s="81" t="s">
        <v>155</v>
      </c>
      <c r="C77" s="67"/>
      <c r="D77" s="68"/>
      <c r="E77" s="68"/>
      <c r="F77" s="119"/>
      <c r="G77" s="91"/>
      <c r="H77" s="62"/>
      <c r="I77" s="68"/>
      <c r="J77" s="91"/>
      <c r="K77" s="91"/>
      <c r="L77" s="68"/>
      <c r="M77" s="68"/>
      <c r="N77" s="119"/>
      <c r="O77" s="119"/>
      <c r="P77" s="68"/>
      <c r="Q77" s="68"/>
      <c r="R77" s="92"/>
      <c r="S77" s="92"/>
      <c r="T77" s="68"/>
      <c r="U77" s="68"/>
      <c r="V77" s="92"/>
      <c r="W77" s="92"/>
      <c r="X77" s="68"/>
      <c r="Y77" s="68"/>
      <c r="Z77" s="92"/>
      <c r="AA77" s="92"/>
      <c r="AB77" s="68"/>
      <c r="AC77" s="68"/>
      <c r="AD77" s="91"/>
      <c r="AE77" s="91"/>
      <c r="AF77" s="68"/>
      <c r="AG77" s="68"/>
      <c r="AH77" s="91">
        <v>270</v>
      </c>
      <c r="AI77" s="91"/>
      <c r="AJ77" s="68">
        <f t="shared" si="59"/>
        <v>270</v>
      </c>
      <c r="AK77" s="68"/>
      <c r="AL77" s="91"/>
      <c r="AM77" s="91"/>
      <c r="AN77" s="68">
        <f t="shared" si="60"/>
        <v>270</v>
      </c>
      <c r="AO77" s="68"/>
      <c r="AP77" s="91"/>
      <c r="AQ77" s="91"/>
      <c r="AR77" s="62">
        <f t="shared" si="40"/>
        <v>270</v>
      </c>
      <c r="AS77" s="68">
        <f t="shared" si="69"/>
        <v>0</v>
      </c>
      <c r="AT77" s="91"/>
      <c r="AU77" s="91"/>
      <c r="AV77" s="68">
        <f>+AR77+AT77-AU77</f>
        <v>270</v>
      </c>
      <c r="AW77" s="68"/>
      <c r="AX77" s="91"/>
      <c r="AY77" s="91"/>
      <c r="AZ77" s="68">
        <f t="shared" si="62"/>
        <v>270</v>
      </c>
      <c r="BA77" s="68"/>
      <c r="BB77" s="91"/>
      <c r="BC77" s="91"/>
      <c r="BD77" s="68">
        <f t="shared" si="63"/>
        <v>270</v>
      </c>
      <c r="BE77" s="68"/>
      <c r="BF77" s="91"/>
      <c r="BG77" s="91"/>
      <c r="BH77" s="68">
        <f t="shared" si="64"/>
        <v>270</v>
      </c>
      <c r="BI77" s="68"/>
      <c r="BJ77" s="91"/>
      <c r="BK77" s="91"/>
      <c r="BL77" s="68">
        <f t="shared" si="65"/>
        <v>270</v>
      </c>
      <c r="BM77" s="68"/>
      <c r="BN77" s="91"/>
      <c r="BO77" s="91"/>
      <c r="BP77" s="68">
        <f t="shared" si="66"/>
        <v>270</v>
      </c>
      <c r="BQ77" s="68"/>
      <c r="BR77" s="68"/>
      <c r="BS77" s="68"/>
      <c r="BT77" s="68"/>
      <c r="BU77" s="68"/>
      <c r="BV77" s="31"/>
      <c r="BW77" s="32"/>
      <c r="BX77" s="50"/>
      <c r="BY77" s="32"/>
      <c r="BZ77" s="32"/>
      <c r="CA77" s="32"/>
      <c r="CB77" s="32"/>
      <c r="CC77" s="32"/>
      <c r="CD77" s="32"/>
      <c r="CE77" s="32"/>
      <c r="CF77" s="32"/>
      <c r="CG77" s="32"/>
    </row>
    <row r="78" spans="1:85" ht="24" x14ac:dyDescent="0.55000000000000004">
      <c r="A78" s="61">
        <v>73</v>
      </c>
      <c r="B78" s="81" t="s">
        <v>24</v>
      </c>
      <c r="C78" s="67">
        <v>333</v>
      </c>
      <c r="D78" s="68">
        <f>+'กระดาษทำการ 30 เม.ย.58'!BP76</f>
        <v>0</v>
      </c>
      <c r="E78" s="68">
        <f>+'กระดาษทำการ 30 เม.ย.58'!BQ76</f>
        <v>0</v>
      </c>
      <c r="F78" s="91">
        <v>200</v>
      </c>
      <c r="G78" s="91"/>
      <c r="H78" s="62">
        <f t="shared" si="70"/>
        <v>200</v>
      </c>
      <c r="I78" s="68"/>
      <c r="J78" s="91"/>
      <c r="K78" s="91"/>
      <c r="L78" s="68">
        <f t="shared" si="53"/>
        <v>200</v>
      </c>
      <c r="M78" s="68"/>
      <c r="N78" s="91"/>
      <c r="O78" s="91"/>
      <c r="P78" s="68">
        <f t="shared" si="54"/>
        <v>200</v>
      </c>
      <c r="Q78" s="68"/>
      <c r="R78" s="92">
        <v>110</v>
      </c>
      <c r="S78" s="92"/>
      <c r="T78" s="68">
        <f t="shared" si="55"/>
        <v>310</v>
      </c>
      <c r="U78" s="68"/>
      <c r="V78" s="92">
        <v>130</v>
      </c>
      <c r="W78" s="92"/>
      <c r="X78" s="68">
        <f t="shared" si="56"/>
        <v>440</v>
      </c>
      <c r="Y78" s="68"/>
      <c r="Z78" s="91"/>
      <c r="AA78" s="91"/>
      <c r="AB78" s="68">
        <f>+X78+Z78-AA78</f>
        <v>440</v>
      </c>
      <c r="AC78" s="68"/>
      <c r="AD78" s="91"/>
      <c r="AE78" s="91"/>
      <c r="AF78" s="68">
        <f t="shared" si="58"/>
        <v>440</v>
      </c>
      <c r="AG78" s="68"/>
      <c r="AH78" s="91">
        <f>30+300</f>
        <v>330</v>
      </c>
      <c r="AI78" s="91"/>
      <c r="AJ78" s="68">
        <f t="shared" si="59"/>
        <v>770</v>
      </c>
      <c r="AK78" s="68"/>
      <c r="AL78" s="91"/>
      <c r="AM78" s="91"/>
      <c r="AN78" s="68">
        <f t="shared" si="60"/>
        <v>770</v>
      </c>
      <c r="AO78" s="68"/>
      <c r="AP78" s="91"/>
      <c r="AQ78" s="91"/>
      <c r="AR78" s="62">
        <f t="shared" si="40"/>
        <v>770</v>
      </c>
      <c r="AS78" s="68">
        <f t="shared" si="69"/>
        <v>0</v>
      </c>
      <c r="AT78" s="92">
        <v>225</v>
      </c>
      <c r="AU78" s="91"/>
      <c r="AV78" s="68">
        <f t="shared" si="61"/>
        <v>995</v>
      </c>
      <c r="AW78" s="68"/>
      <c r="AX78" s="91">
        <v>460</v>
      </c>
      <c r="AY78" s="91"/>
      <c r="AZ78" s="68">
        <f>+AV78+AX78-AY78</f>
        <v>1455</v>
      </c>
      <c r="BA78" s="68"/>
      <c r="BB78" s="91">
        <v>150</v>
      </c>
      <c r="BC78" s="91"/>
      <c r="BD78" s="68">
        <f>+AZ78+BB78-BC78</f>
        <v>1605</v>
      </c>
      <c r="BE78" s="68"/>
      <c r="BF78" s="91"/>
      <c r="BG78" s="91"/>
      <c r="BH78" s="68">
        <f>+BD78+BF78-BG78</f>
        <v>1605</v>
      </c>
      <c r="BI78" s="68"/>
      <c r="BJ78" s="91"/>
      <c r="BK78" s="91"/>
      <c r="BL78" s="68">
        <f>+BH78+BJ78-BK78</f>
        <v>1605</v>
      </c>
      <c r="BM78" s="68"/>
      <c r="BN78" s="91"/>
      <c r="BO78" s="91"/>
      <c r="BP78" s="68">
        <f>+BL78+BN78-BO78</f>
        <v>1605</v>
      </c>
      <c r="BQ78" s="68"/>
      <c r="BR78" s="68"/>
      <c r="BS78" s="68"/>
      <c r="BT78" s="68">
        <f t="shared" ref="BT78:BT88" si="71">D78+BR78-BS78</f>
        <v>0</v>
      </c>
      <c r="BU78" s="68"/>
      <c r="BV78" s="31"/>
      <c r="BW78" s="32"/>
      <c r="BX78" s="27"/>
      <c r="BY78" s="32"/>
      <c r="BZ78" s="32">
        <f t="shared" si="52"/>
        <v>0</v>
      </c>
      <c r="CA78" s="32">
        <f t="shared" si="48"/>
        <v>0</v>
      </c>
      <c r="CB78" s="32"/>
      <c r="CC78" s="32"/>
      <c r="CD78" s="32">
        <f t="shared" si="67"/>
        <v>0</v>
      </c>
      <c r="CE78" s="32"/>
      <c r="CF78" s="32"/>
      <c r="CG78" s="32"/>
    </row>
    <row r="79" spans="1:85" x14ac:dyDescent="0.5">
      <c r="A79" s="61">
        <v>74</v>
      </c>
      <c r="B79" s="81" t="s">
        <v>16</v>
      </c>
      <c r="C79" s="67">
        <v>335</v>
      </c>
      <c r="D79" s="68">
        <f>+'กระดาษทำการ 30 เม.ย.58'!BP77</f>
        <v>0</v>
      </c>
      <c r="E79" s="68">
        <f>+'กระดาษทำการ 30 เม.ย.58'!BQ77</f>
        <v>0</v>
      </c>
      <c r="F79" s="91"/>
      <c r="G79" s="91"/>
      <c r="H79" s="68">
        <f t="shared" si="70"/>
        <v>0</v>
      </c>
      <c r="I79" s="68"/>
      <c r="J79" s="91"/>
      <c r="K79" s="91"/>
      <c r="L79" s="68">
        <f t="shared" si="53"/>
        <v>0</v>
      </c>
      <c r="M79" s="68"/>
      <c r="N79" s="91"/>
      <c r="O79" s="91"/>
      <c r="P79" s="68">
        <f>+L79+N79-O79</f>
        <v>0</v>
      </c>
      <c r="Q79" s="68"/>
      <c r="R79" s="91"/>
      <c r="S79" s="91"/>
      <c r="T79" s="68">
        <f t="shared" si="55"/>
        <v>0</v>
      </c>
      <c r="U79" s="68"/>
      <c r="V79" s="91"/>
      <c r="W79" s="91"/>
      <c r="X79" s="68">
        <f>+T79+V79-W79</f>
        <v>0</v>
      </c>
      <c r="Y79" s="68"/>
      <c r="Z79" s="91"/>
      <c r="AA79" s="91"/>
      <c r="AB79" s="68">
        <f t="shared" si="57"/>
        <v>0</v>
      </c>
      <c r="AC79" s="68"/>
      <c r="AD79" s="91"/>
      <c r="AE79" s="91"/>
      <c r="AF79" s="68">
        <f t="shared" si="58"/>
        <v>0</v>
      </c>
      <c r="AG79" s="68"/>
      <c r="AH79" s="91"/>
      <c r="AI79" s="91"/>
      <c r="AJ79" s="68">
        <f>+AF79+AH79-AI79</f>
        <v>0</v>
      </c>
      <c r="AK79" s="68"/>
      <c r="AL79" s="91"/>
      <c r="AM79" s="91"/>
      <c r="AN79" s="68">
        <f t="shared" si="60"/>
        <v>0</v>
      </c>
      <c r="AO79" s="68"/>
      <c r="AP79" s="91"/>
      <c r="AQ79" s="91"/>
      <c r="AR79" s="68">
        <f t="shared" si="40"/>
        <v>0</v>
      </c>
      <c r="AS79" s="68">
        <f t="shared" si="69"/>
        <v>0</v>
      </c>
      <c r="AT79" s="91"/>
      <c r="AU79" s="91"/>
      <c r="AV79" s="68">
        <f t="shared" si="61"/>
        <v>0</v>
      </c>
      <c r="AW79" s="68"/>
      <c r="AX79" s="91"/>
      <c r="AY79" s="91"/>
      <c r="AZ79" s="68">
        <f t="shared" si="62"/>
        <v>0</v>
      </c>
      <c r="BA79" s="68"/>
      <c r="BB79" s="91"/>
      <c r="BC79" s="91"/>
      <c r="BD79" s="68">
        <f t="shared" ref="BD79:BD84" si="72">+AZ79+BB79-BC79</f>
        <v>0</v>
      </c>
      <c r="BE79" s="68"/>
      <c r="BF79" s="91"/>
      <c r="BG79" s="91"/>
      <c r="BH79" s="68">
        <f t="shared" ref="BH79:BH84" si="73">+BD79+BF79-BG79</f>
        <v>0</v>
      </c>
      <c r="BI79" s="68"/>
      <c r="BJ79" s="91"/>
      <c r="BK79" s="91"/>
      <c r="BL79" s="68">
        <f t="shared" ref="BL79:BL84" si="74">+BH79+BJ79-BK79</f>
        <v>0</v>
      </c>
      <c r="BM79" s="68"/>
      <c r="BN79" s="91"/>
      <c r="BO79" s="91"/>
      <c r="BP79" s="68">
        <f t="shared" ref="BP79:BP84" si="75">+BL79+BN79-BO79</f>
        <v>0</v>
      </c>
      <c r="BQ79" s="68"/>
      <c r="BR79" s="68"/>
      <c r="BS79" s="68"/>
      <c r="BT79" s="68">
        <f t="shared" si="71"/>
        <v>0</v>
      </c>
      <c r="BU79" s="68"/>
      <c r="BV79" s="31"/>
      <c r="BW79" s="32"/>
      <c r="BX79" s="27"/>
      <c r="BY79" s="32"/>
      <c r="BZ79" s="32">
        <f t="shared" si="52"/>
        <v>0</v>
      </c>
      <c r="CA79" s="32">
        <v>0</v>
      </c>
      <c r="CB79" s="32"/>
      <c r="CC79" s="32"/>
      <c r="CD79" s="32">
        <f t="shared" si="67"/>
        <v>0</v>
      </c>
      <c r="CE79" s="32"/>
      <c r="CF79" s="32"/>
      <c r="CG79" s="32"/>
    </row>
    <row r="80" spans="1:85" x14ac:dyDescent="0.5">
      <c r="A80" s="61">
        <v>75</v>
      </c>
      <c r="B80" s="81" t="s">
        <v>128</v>
      </c>
      <c r="C80" s="67"/>
      <c r="D80" s="68">
        <f>+'กระดาษทำการ 30 เม.ย.58'!BP78</f>
        <v>0</v>
      </c>
      <c r="E80" s="68">
        <f>+'กระดาษทำการ 30 เม.ย.58'!BQ78</f>
        <v>0</v>
      </c>
      <c r="F80" s="91"/>
      <c r="G80" s="91"/>
      <c r="H80" s="62">
        <f t="shared" si="70"/>
        <v>0</v>
      </c>
      <c r="I80" s="68"/>
      <c r="J80" s="91"/>
      <c r="K80" s="91"/>
      <c r="L80" s="68">
        <f t="shared" si="53"/>
        <v>0</v>
      </c>
      <c r="M80" s="68"/>
      <c r="N80" s="91"/>
      <c r="O80" s="91"/>
      <c r="P80" s="68">
        <f t="shared" si="54"/>
        <v>0</v>
      </c>
      <c r="Q80" s="68"/>
      <c r="R80" s="91"/>
      <c r="S80" s="91"/>
      <c r="T80" s="68">
        <f t="shared" si="55"/>
        <v>0</v>
      </c>
      <c r="U80" s="68"/>
      <c r="V80" s="91"/>
      <c r="W80" s="91"/>
      <c r="X80" s="68">
        <f t="shared" si="56"/>
        <v>0</v>
      </c>
      <c r="Y80" s="68"/>
      <c r="Z80" s="91"/>
      <c r="AA80" s="91"/>
      <c r="AB80" s="68">
        <f t="shared" si="57"/>
        <v>0</v>
      </c>
      <c r="AC80" s="68"/>
      <c r="AD80" s="91"/>
      <c r="AE80" s="91"/>
      <c r="AF80" s="68">
        <f t="shared" si="58"/>
        <v>0</v>
      </c>
      <c r="AG80" s="68"/>
      <c r="AH80" s="91"/>
      <c r="AI80" s="91"/>
      <c r="AJ80" s="68">
        <f t="shared" si="59"/>
        <v>0</v>
      </c>
      <c r="AK80" s="68"/>
      <c r="AL80" s="91"/>
      <c r="AM80" s="91"/>
      <c r="AN80" s="68">
        <f t="shared" si="60"/>
        <v>0</v>
      </c>
      <c r="AO80" s="68"/>
      <c r="AP80" s="91"/>
      <c r="AQ80" s="91"/>
      <c r="AR80" s="62">
        <f t="shared" si="40"/>
        <v>0</v>
      </c>
      <c r="AS80" s="68">
        <f t="shared" si="69"/>
        <v>0</v>
      </c>
      <c r="AT80" s="91"/>
      <c r="AU80" s="91"/>
      <c r="AV80" s="68">
        <f t="shared" si="61"/>
        <v>0</v>
      </c>
      <c r="AW80" s="68"/>
      <c r="AX80" s="91"/>
      <c r="AY80" s="91"/>
      <c r="AZ80" s="68">
        <f t="shared" si="62"/>
        <v>0</v>
      </c>
      <c r="BA80" s="68"/>
      <c r="BB80" s="91"/>
      <c r="BC80" s="91"/>
      <c r="BD80" s="68">
        <f t="shared" si="72"/>
        <v>0</v>
      </c>
      <c r="BE80" s="68"/>
      <c r="BF80" s="91"/>
      <c r="BG80" s="91"/>
      <c r="BH80" s="68">
        <f t="shared" si="73"/>
        <v>0</v>
      </c>
      <c r="BI80" s="68"/>
      <c r="BJ80" s="91"/>
      <c r="BK80" s="91"/>
      <c r="BL80" s="68">
        <f t="shared" si="74"/>
        <v>0</v>
      </c>
      <c r="BM80" s="68"/>
      <c r="BN80" s="91"/>
      <c r="BO80" s="91"/>
      <c r="BP80" s="68">
        <f t="shared" si="75"/>
        <v>0</v>
      </c>
      <c r="BQ80" s="68"/>
      <c r="BR80" s="68"/>
      <c r="BS80" s="68"/>
      <c r="BT80" s="68">
        <f t="shared" si="71"/>
        <v>0</v>
      </c>
      <c r="BU80" s="68"/>
      <c r="BV80" s="31">
        <v>20</v>
      </c>
      <c r="BW80" s="32">
        <v>66277</v>
      </c>
      <c r="BX80" s="27"/>
      <c r="BY80" s="32"/>
      <c r="BZ80" s="32">
        <f>BT80+BW80-BY80</f>
        <v>66277</v>
      </c>
      <c r="CA80" s="32">
        <v>0</v>
      </c>
      <c r="CB80" s="32"/>
      <c r="CC80" s="32"/>
      <c r="CD80" s="32">
        <f>BZ80</f>
        <v>66277</v>
      </c>
      <c r="CE80" s="32"/>
      <c r="CF80" s="32"/>
      <c r="CG80" s="32"/>
    </row>
    <row r="81" spans="1:85" x14ac:dyDescent="0.5">
      <c r="A81" s="61">
        <v>76</v>
      </c>
      <c r="B81" s="81" t="s">
        <v>129</v>
      </c>
      <c r="C81" s="67"/>
      <c r="D81" s="68">
        <f>+'กระดาษทำการ 30 เม.ย.58'!BP79</f>
        <v>0</v>
      </c>
      <c r="E81" s="68">
        <f>+'กระดาษทำการ 30 เม.ย.58'!BQ79</f>
        <v>0</v>
      </c>
      <c r="F81" s="91"/>
      <c r="G81" s="91"/>
      <c r="H81" s="62">
        <f t="shared" si="70"/>
        <v>0</v>
      </c>
      <c r="I81" s="68"/>
      <c r="J81" s="91"/>
      <c r="K81" s="91"/>
      <c r="L81" s="68">
        <f t="shared" si="53"/>
        <v>0</v>
      </c>
      <c r="M81" s="68"/>
      <c r="N81" s="91"/>
      <c r="O81" s="91"/>
      <c r="P81" s="68">
        <f t="shared" si="54"/>
        <v>0</v>
      </c>
      <c r="Q81" s="68"/>
      <c r="R81" s="91"/>
      <c r="S81" s="91"/>
      <c r="T81" s="68">
        <f t="shared" si="55"/>
        <v>0</v>
      </c>
      <c r="U81" s="68"/>
      <c r="V81" s="91"/>
      <c r="W81" s="91"/>
      <c r="X81" s="68">
        <f t="shared" si="56"/>
        <v>0</v>
      </c>
      <c r="Y81" s="68"/>
      <c r="Z81" s="91"/>
      <c r="AA81" s="91"/>
      <c r="AB81" s="68">
        <f t="shared" si="57"/>
        <v>0</v>
      </c>
      <c r="AC81" s="68"/>
      <c r="AD81" s="91"/>
      <c r="AE81" s="91"/>
      <c r="AF81" s="68">
        <f t="shared" si="58"/>
        <v>0</v>
      </c>
      <c r="AG81" s="68"/>
      <c r="AH81" s="91"/>
      <c r="AI81" s="91"/>
      <c r="AJ81" s="68">
        <f t="shared" si="59"/>
        <v>0</v>
      </c>
      <c r="AK81" s="68"/>
      <c r="AL81" s="91"/>
      <c r="AM81" s="91"/>
      <c r="AN81" s="68">
        <f t="shared" si="60"/>
        <v>0</v>
      </c>
      <c r="AO81" s="68"/>
      <c r="AP81" s="91"/>
      <c r="AQ81" s="91"/>
      <c r="AR81" s="62">
        <f t="shared" si="40"/>
        <v>0</v>
      </c>
      <c r="AS81" s="68">
        <f t="shared" si="69"/>
        <v>0</v>
      </c>
      <c r="AT81" s="91"/>
      <c r="AU81" s="91"/>
      <c r="AV81" s="68">
        <f t="shared" si="61"/>
        <v>0</v>
      </c>
      <c r="AW81" s="68"/>
      <c r="AX81" s="91"/>
      <c r="AY81" s="91"/>
      <c r="AZ81" s="68">
        <f t="shared" si="62"/>
        <v>0</v>
      </c>
      <c r="BA81" s="68"/>
      <c r="BB81" s="91"/>
      <c r="BC81" s="91"/>
      <c r="BD81" s="68">
        <f t="shared" si="72"/>
        <v>0</v>
      </c>
      <c r="BE81" s="68"/>
      <c r="BF81" s="91"/>
      <c r="BG81" s="91"/>
      <c r="BH81" s="68">
        <f t="shared" si="73"/>
        <v>0</v>
      </c>
      <c r="BI81" s="68"/>
      <c r="BJ81" s="91"/>
      <c r="BK81" s="91"/>
      <c r="BL81" s="68">
        <f t="shared" si="74"/>
        <v>0</v>
      </c>
      <c r="BM81" s="68"/>
      <c r="BN81" s="91"/>
      <c r="BO81" s="91"/>
      <c r="BP81" s="68">
        <f t="shared" si="75"/>
        <v>0</v>
      </c>
      <c r="BQ81" s="68"/>
      <c r="BR81" s="68"/>
      <c r="BS81" s="68"/>
      <c r="BT81" s="68">
        <f t="shared" si="71"/>
        <v>0</v>
      </c>
      <c r="BU81" s="68"/>
      <c r="BV81" s="31">
        <v>19</v>
      </c>
      <c r="BW81" s="32">
        <v>5962.31</v>
      </c>
      <c r="BX81" s="27"/>
      <c r="BY81" s="32"/>
      <c r="BZ81" s="32">
        <f>BT81+BW81-BY81</f>
        <v>5962.31</v>
      </c>
      <c r="CA81" s="32">
        <v>0</v>
      </c>
      <c r="CB81" s="32"/>
      <c r="CC81" s="32"/>
      <c r="CD81" s="32">
        <f>BZ81</f>
        <v>5962.31</v>
      </c>
      <c r="CE81" s="32"/>
      <c r="CF81" s="32"/>
      <c r="CG81" s="32"/>
    </row>
    <row r="82" spans="1:85" x14ac:dyDescent="0.5">
      <c r="A82" s="61">
        <v>77</v>
      </c>
      <c r="B82" s="81" t="s">
        <v>130</v>
      </c>
      <c r="C82" s="67"/>
      <c r="D82" s="68">
        <f>+'กระดาษทำการ 30 เม.ย.58'!BP80</f>
        <v>0</v>
      </c>
      <c r="E82" s="68">
        <f>+'กระดาษทำการ 30 เม.ย.58'!BQ80</f>
        <v>0</v>
      </c>
      <c r="F82" s="91"/>
      <c r="G82" s="91"/>
      <c r="H82" s="62">
        <f t="shared" si="70"/>
        <v>0</v>
      </c>
      <c r="I82" s="68"/>
      <c r="J82" s="91"/>
      <c r="K82" s="91"/>
      <c r="L82" s="68">
        <f t="shared" si="53"/>
        <v>0</v>
      </c>
      <c r="M82" s="68"/>
      <c r="N82" s="91"/>
      <c r="O82" s="91"/>
      <c r="P82" s="68">
        <f t="shared" si="54"/>
        <v>0</v>
      </c>
      <c r="Q82" s="68"/>
      <c r="R82" s="91"/>
      <c r="S82" s="91"/>
      <c r="T82" s="68">
        <f>+P82+R82-S82</f>
        <v>0</v>
      </c>
      <c r="U82" s="68"/>
      <c r="V82" s="91"/>
      <c r="W82" s="91"/>
      <c r="X82" s="68">
        <f>+T82+V82-W82</f>
        <v>0</v>
      </c>
      <c r="Y82" s="68"/>
      <c r="Z82" s="91"/>
      <c r="AA82" s="91"/>
      <c r="AB82" s="68">
        <f t="shared" si="57"/>
        <v>0</v>
      </c>
      <c r="AC82" s="68"/>
      <c r="AD82" s="91"/>
      <c r="AE82" s="91"/>
      <c r="AF82" s="68">
        <f>+AB82+AD82-AE82</f>
        <v>0</v>
      </c>
      <c r="AG82" s="68"/>
      <c r="AH82" s="91"/>
      <c r="AI82" s="91"/>
      <c r="AJ82" s="68">
        <f t="shared" si="59"/>
        <v>0</v>
      </c>
      <c r="AK82" s="68"/>
      <c r="AL82" s="91"/>
      <c r="AM82" s="91"/>
      <c r="AN82" s="68">
        <f t="shared" si="60"/>
        <v>0</v>
      </c>
      <c r="AO82" s="68"/>
      <c r="AP82" s="91"/>
      <c r="AQ82" s="91"/>
      <c r="AR82" s="62">
        <f t="shared" si="40"/>
        <v>0</v>
      </c>
      <c r="AS82" s="68">
        <f t="shared" si="69"/>
        <v>0</v>
      </c>
      <c r="AT82" s="91"/>
      <c r="AU82" s="91"/>
      <c r="AV82" s="68">
        <f t="shared" si="61"/>
        <v>0</v>
      </c>
      <c r="AW82" s="68"/>
      <c r="AX82" s="91"/>
      <c r="AY82" s="91"/>
      <c r="AZ82" s="68">
        <f t="shared" si="62"/>
        <v>0</v>
      </c>
      <c r="BA82" s="68"/>
      <c r="BB82" s="91"/>
      <c r="BC82" s="91"/>
      <c r="BD82" s="68">
        <f t="shared" si="72"/>
        <v>0</v>
      </c>
      <c r="BE82" s="68"/>
      <c r="BF82" s="91"/>
      <c r="BG82" s="91"/>
      <c r="BH82" s="68">
        <f t="shared" si="73"/>
        <v>0</v>
      </c>
      <c r="BI82" s="68"/>
      <c r="BJ82" s="91"/>
      <c r="BK82" s="91"/>
      <c r="BL82" s="68">
        <f t="shared" si="74"/>
        <v>0</v>
      </c>
      <c r="BM82" s="68"/>
      <c r="BN82" s="91"/>
      <c r="BO82" s="91"/>
      <c r="BP82" s="68">
        <f t="shared" si="75"/>
        <v>0</v>
      </c>
      <c r="BQ82" s="68"/>
      <c r="BR82" s="68"/>
      <c r="BS82" s="68"/>
      <c r="BT82" s="68">
        <f t="shared" si="71"/>
        <v>0</v>
      </c>
      <c r="BU82" s="68"/>
      <c r="BV82" s="31">
        <v>21</v>
      </c>
      <c r="BW82" s="32">
        <v>135892</v>
      </c>
      <c r="BX82" s="27"/>
      <c r="BY82" s="32"/>
      <c r="BZ82" s="32">
        <f>BT82+BW82-BY82</f>
        <v>135892</v>
      </c>
      <c r="CA82" s="32">
        <v>0</v>
      </c>
      <c r="CB82" s="32"/>
      <c r="CC82" s="32"/>
      <c r="CD82" s="32">
        <v>135892</v>
      </c>
      <c r="CE82" s="32"/>
      <c r="CF82" s="32"/>
      <c r="CG82" s="32"/>
    </row>
    <row r="83" spans="1:85" x14ac:dyDescent="0.5">
      <c r="A83" s="61">
        <v>78</v>
      </c>
      <c r="B83" s="81" t="s">
        <v>131</v>
      </c>
      <c r="C83" s="67"/>
      <c r="D83" s="68">
        <f>+'กระดาษทำการ 30 เม.ย.58'!BP81</f>
        <v>0</v>
      </c>
      <c r="E83" s="68">
        <f>+'กระดาษทำการ 30 เม.ย.58'!BQ81</f>
        <v>0</v>
      </c>
      <c r="F83" s="91"/>
      <c r="G83" s="91"/>
      <c r="H83" s="62">
        <f t="shared" si="70"/>
        <v>0</v>
      </c>
      <c r="I83" s="68"/>
      <c r="J83" s="91"/>
      <c r="K83" s="91"/>
      <c r="L83" s="68">
        <f t="shared" si="53"/>
        <v>0</v>
      </c>
      <c r="M83" s="68"/>
      <c r="N83" s="91"/>
      <c r="O83" s="91"/>
      <c r="P83" s="68">
        <f>+L83+N83-O83</f>
        <v>0</v>
      </c>
      <c r="Q83" s="68"/>
      <c r="R83" s="91"/>
      <c r="S83" s="91"/>
      <c r="T83" s="68">
        <f t="shared" si="55"/>
        <v>0</v>
      </c>
      <c r="U83" s="68"/>
      <c r="V83" s="91"/>
      <c r="W83" s="91"/>
      <c r="X83" s="68">
        <f t="shared" si="56"/>
        <v>0</v>
      </c>
      <c r="Y83" s="68"/>
      <c r="Z83" s="91"/>
      <c r="AA83" s="91"/>
      <c r="AB83" s="68">
        <f t="shared" si="57"/>
        <v>0</v>
      </c>
      <c r="AC83" s="68"/>
      <c r="AD83" s="91"/>
      <c r="AE83" s="91"/>
      <c r="AF83" s="68">
        <f t="shared" si="58"/>
        <v>0</v>
      </c>
      <c r="AG83" s="68"/>
      <c r="AH83" s="91"/>
      <c r="AI83" s="91"/>
      <c r="AJ83" s="68">
        <f t="shared" si="59"/>
        <v>0</v>
      </c>
      <c r="AK83" s="68"/>
      <c r="AL83" s="91"/>
      <c r="AM83" s="91"/>
      <c r="AN83" s="68">
        <f t="shared" si="60"/>
        <v>0</v>
      </c>
      <c r="AO83" s="68"/>
      <c r="AP83" s="91"/>
      <c r="AQ83" s="91"/>
      <c r="AR83" s="62">
        <f t="shared" si="40"/>
        <v>0</v>
      </c>
      <c r="AS83" s="68">
        <f t="shared" si="69"/>
        <v>0</v>
      </c>
      <c r="AT83" s="91"/>
      <c r="AU83" s="91"/>
      <c r="AV83" s="68">
        <f>+AR83+AT83-AU83</f>
        <v>0</v>
      </c>
      <c r="AW83" s="68"/>
      <c r="AX83" s="91"/>
      <c r="AY83" s="91"/>
      <c r="AZ83" s="68">
        <f t="shared" si="62"/>
        <v>0</v>
      </c>
      <c r="BA83" s="68"/>
      <c r="BB83" s="91"/>
      <c r="BC83" s="91"/>
      <c r="BD83" s="68">
        <f t="shared" si="72"/>
        <v>0</v>
      </c>
      <c r="BE83" s="68"/>
      <c r="BF83" s="91"/>
      <c r="BG83" s="91"/>
      <c r="BH83" s="68">
        <f t="shared" si="73"/>
        <v>0</v>
      </c>
      <c r="BI83" s="68"/>
      <c r="BJ83" s="91"/>
      <c r="BK83" s="91"/>
      <c r="BL83" s="68">
        <f t="shared" si="74"/>
        <v>0</v>
      </c>
      <c r="BM83" s="68"/>
      <c r="BN83" s="91"/>
      <c r="BO83" s="91"/>
      <c r="BP83" s="68">
        <f t="shared" si="75"/>
        <v>0</v>
      </c>
      <c r="BQ83" s="68"/>
      <c r="BR83" s="68"/>
      <c r="BS83" s="68"/>
      <c r="BT83" s="68">
        <f t="shared" si="71"/>
        <v>0</v>
      </c>
      <c r="BU83" s="68"/>
      <c r="BV83" s="31">
        <v>18</v>
      </c>
      <c r="BW83" s="32">
        <v>13912.04</v>
      </c>
      <c r="BX83" s="27"/>
      <c r="BY83" s="32"/>
      <c r="BZ83" s="32">
        <f>BT83+BW83-BY83</f>
        <v>13912.04</v>
      </c>
      <c r="CA83" s="32">
        <v>0</v>
      </c>
      <c r="CB83" s="32"/>
      <c r="CC83" s="32"/>
      <c r="CD83" s="32">
        <v>13912.04</v>
      </c>
      <c r="CE83" s="32"/>
      <c r="CF83" s="32"/>
      <c r="CG83" s="32"/>
    </row>
    <row r="84" spans="1:85" ht="24" x14ac:dyDescent="0.55000000000000004">
      <c r="A84" s="61">
        <v>79</v>
      </c>
      <c r="B84" s="81" t="s">
        <v>25</v>
      </c>
      <c r="C84" s="67">
        <v>339</v>
      </c>
      <c r="D84" s="68">
        <f>+'กระดาษทำการ 30 เม.ย.58'!BP82</f>
        <v>0</v>
      </c>
      <c r="E84" s="68">
        <f>+'กระดาษทำการ 30 เม.ย.58'!BQ82</f>
        <v>0</v>
      </c>
      <c r="F84" s="91">
        <v>7001.5</v>
      </c>
      <c r="G84" s="91"/>
      <c r="H84" s="62">
        <f t="shared" si="70"/>
        <v>7001.5</v>
      </c>
      <c r="I84" s="68"/>
      <c r="J84" s="91"/>
      <c r="K84" s="91"/>
      <c r="L84" s="68">
        <f t="shared" si="53"/>
        <v>7001.5</v>
      </c>
      <c r="M84" s="68"/>
      <c r="N84" s="119">
        <f>7001.5+7001.5</f>
        <v>14003</v>
      </c>
      <c r="O84" s="119"/>
      <c r="P84" s="68">
        <f t="shared" si="54"/>
        <v>21004.5</v>
      </c>
      <c r="Q84" s="68"/>
      <c r="R84" s="92">
        <v>7001.5</v>
      </c>
      <c r="S84" s="92"/>
      <c r="T84" s="68">
        <f t="shared" si="55"/>
        <v>28006</v>
      </c>
      <c r="U84" s="68"/>
      <c r="V84" s="92">
        <v>7001.5</v>
      </c>
      <c r="W84" s="92"/>
      <c r="X84" s="68">
        <f t="shared" si="56"/>
        <v>35007.5</v>
      </c>
      <c r="Y84" s="68"/>
      <c r="Z84" s="92">
        <v>7001.5</v>
      </c>
      <c r="AA84" s="92"/>
      <c r="AB84" s="68">
        <f t="shared" si="57"/>
        <v>42009</v>
      </c>
      <c r="AC84" s="68"/>
      <c r="AD84" s="91"/>
      <c r="AE84" s="91"/>
      <c r="AF84" s="68">
        <f t="shared" si="58"/>
        <v>42009</v>
      </c>
      <c r="AG84" s="68"/>
      <c r="AH84" s="91"/>
      <c r="AI84" s="91"/>
      <c r="AJ84" s="68">
        <f t="shared" si="59"/>
        <v>42009</v>
      </c>
      <c r="AK84" s="68"/>
      <c r="AL84" s="91"/>
      <c r="AM84" s="91"/>
      <c r="AN84" s="68">
        <f t="shared" si="60"/>
        <v>42009</v>
      </c>
      <c r="AO84" s="68"/>
      <c r="AP84" s="91"/>
      <c r="AQ84" s="91"/>
      <c r="AR84" s="62">
        <f t="shared" si="40"/>
        <v>42009</v>
      </c>
      <c r="AS84" s="68">
        <f t="shared" si="69"/>
        <v>0</v>
      </c>
      <c r="AT84" s="92">
        <v>11280</v>
      </c>
      <c r="AU84" s="91"/>
      <c r="AV84" s="68">
        <f t="shared" ref="AV84:AV99" si="76">+AR84+AT84-AU84</f>
        <v>53289</v>
      </c>
      <c r="AW84" s="68"/>
      <c r="AX84" s="91">
        <v>11280</v>
      </c>
      <c r="AY84" s="91"/>
      <c r="AZ84" s="68">
        <f t="shared" si="62"/>
        <v>64569</v>
      </c>
      <c r="BA84" s="68"/>
      <c r="BB84" s="91">
        <v>11280</v>
      </c>
      <c r="BC84" s="91"/>
      <c r="BD84" s="68">
        <f t="shared" si="72"/>
        <v>75849</v>
      </c>
      <c r="BE84" s="68"/>
      <c r="BF84" s="91"/>
      <c r="BG84" s="91"/>
      <c r="BH84" s="68">
        <f t="shared" si="73"/>
        <v>75849</v>
      </c>
      <c r="BI84" s="68"/>
      <c r="BJ84" s="91">
        <v>22560</v>
      </c>
      <c r="BK84" s="91"/>
      <c r="BL84" s="68">
        <f t="shared" si="74"/>
        <v>98409</v>
      </c>
      <c r="BM84" s="68"/>
      <c r="BN84" s="91">
        <v>11280</v>
      </c>
      <c r="BO84" s="91"/>
      <c r="BP84" s="68">
        <f t="shared" si="75"/>
        <v>109689</v>
      </c>
      <c r="BQ84" s="68"/>
      <c r="BR84" s="68"/>
      <c r="BS84" s="68"/>
      <c r="BT84" s="68">
        <f t="shared" si="71"/>
        <v>0</v>
      </c>
      <c r="BU84" s="68"/>
      <c r="BV84" s="31"/>
      <c r="BW84" s="32"/>
      <c r="BX84" s="50" t="s">
        <v>106</v>
      </c>
      <c r="BY84" s="32">
        <f>21004.5+14003</f>
        <v>35007.5</v>
      </c>
      <c r="BZ84" s="32">
        <f t="shared" si="52"/>
        <v>-35007.5</v>
      </c>
      <c r="CA84" s="32"/>
      <c r="CB84" s="32"/>
      <c r="CC84" s="32"/>
      <c r="CD84" s="32">
        <f t="shared" si="67"/>
        <v>-35007.5</v>
      </c>
      <c r="CE84" s="32"/>
      <c r="CF84" s="32"/>
      <c r="CG84" s="32"/>
    </row>
    <row r="85" spans="1:85" x14ac:dyDescent="0.5">
      <c r="A85" s="61">
        <v>80</v>
      </c>
      <c r="B85" s="81" t="s">
        <v>86</v>
      </c>
      <c r="C85" s="67">
        <v>285</v>
      </c>
      <c r="D85" s="68">
        <f>+'กระดาษทำการ 30 เม.ย.58'!BP83</f>
        <v>0</v>
      </c>
      <c r="E85" s="68">
        <f>+'กระดาษทำการ 30 เม.ย.58'!BQ83</f>
        <v>0</v>
      </c>
      <c r="F85" s="91"/>
      <c r="G85" s="91"/>
      <c r="H85" s="68">
        <f t="shared" si="70"/>
        <v>0</v>
      </c>
      <c r="I85" s="68"/>
      <c r="J85" s="91"/>
      <c r="K85" s="91"/>
      <c r="L85" s="68">
        <f t="shared" si="53"/>
        <v>0</v>
      </c>
      <c r="M85" s="68"/>
      <c r="N85" s="91"/>
      <c r="O85" s="91"/>
      <c r="P85" s="68">
        <f>+L85+N85-O85</f>
        <v>0</v>
      </c>
      <c r="Q85" s="68"/>
      <c r="R85" s="91"/>
      <c r="S85" s="91"/>
      <c r="T85" s="68">
        <f t="shared" si="55"/>
        <v>0</v>
      </c>
      <c r="U85" s="68"/>
      <c r="V85" s="91"/>
      <c r="W85" s="91"/>
      <c r="X85" s="68">
        <f t="shared" si="56"/>
        <v>0</v>
      </c>
      <c r="Y85" s="68"/>
      <c r="Z85" s="91"/>
      <c r="AA85" s="91"/>
      <c r="AB85" s="68">
        <f t="shared" si="57"/>
        <v>0</v>
      </c>
      <c r="AC85" s="68"/>
      <c r="AD85" s="91"/>
      <c r="AE85" s="91"/>
      <c r="AF85" s="68">
        <f t="shared" si="58"/>
        <v>0</v>
      </c>
      <c r="AG85" s="68"/>
      <c r="AH85" s="91"/>
      <c r="AI85" s="91"/>
      <c r="AJ85" s="68">
        <f t="shared" si="59"/>
        <v>0</v>
      </c>
      <c r="AK85" s="68"/>
      <c r="AL85" s="91"/>
      <c r="AM85" s="91"/>
      <c r="AN85" s="68">
        <f t="shared" si="60"/>
        <v>0</v>
      </c>
      <c r="AO85" s="68"/>
      <c r="AP85" s="91"/>
      <c r="AQ85" s="91"/>
      <c r="AR85" s="68">
        <f t="shared" si="40"/>
        <v>0</v>
      </c>
      <c r="AS85" s="68">
        <f t="shared" si="69"/>
        <v>0</v>
      </c>
      <c r="AT85" s="91"/>
      <c r="AU85" s="91"/>
      <c r="AV85" s="68">
        <f t="shared" si="76"/>
        <v>0</v>
      </c>
      <c r="AW85" s="68"/>
      <c r="AX85" s="91"/>
      <c r="AY85" s="91"/>
      <c r="AZ85" s="68">
        <f>+AV85+AX85-AY85</f>
        <v>0</v>
      </c>
      <c r="BA85" s="68"/>
      <c r="BB85" s="91"/>
      <c r="BC85" s="91"/>
      <c r="BD85" s="68">
        <f>+AZ85+BB85-BC85</f>
        <v>0</v>
      </c>
      <c r="BE85" s="68"/>
      <c r="BF85" s="91"/>
      <c r="BG85" s="91"/>
      <c r="BH85" s="68">
        <f>+BD85+BF85-BG85</f>
        <v>0</v>
      </c>
      <c r="BI85" s="68"/>
      <c r="BJ85" s="91"/>
      <c r="BK85" s="91"/>
      <c r="BL85" s="68">
        <f>+BH85+BJ85-BK85</f>
        <v>0</v>
      </c>
      <c r="BM85" s="68"/>
      <c r="BN85" s="91"/>
      <c r="BO85" s="91"/>
      <c r="BP85" s="68">
        <f>+BL85+BN85-BO85</f>
        <v>0</v>
      </c>
      <c r="BQ85" s="68"/>
      <c r="BR85" s="68"/>
      <c r="BS85" s="68"/>
      <c r="BT85" s="68">
        <f t="shared" si="71"/>
        <v>0</v>
      </c>
      <c r="BU85" s="68"/>
      <c r="BV85" s="31"/>
      <c r="BW85" s="32"/>
      <c r="BX85" s="27"/>
      <c r="BY85" s="32"/>
      <c r="BZ85" s="32">
        <f t="shared" si="52"/>
        <v>0</v>
      </c>
      <c r="CA85" s="32"/>
      <c r="CB85" s="32"/>
      <c r="CC85" s="32"/>
      <c r="CD85" s="32">
        <f t="shared" si="67"/>
        <v>0</v>
      </c>
      <c r="CE85" s="32"/>
      <c r="CF85" s="32"/>
      <c r="CG85" s="32"/>
    </row>
    <row r="86" spans="1:85" x14ac:dyDescent="0.5">
      <c r="A86" s="61">
        <v>81</v>
      </c>
      <c r="B86" s="81" t="s">
        <v>97</v>
      </c>
      <c r="C86" s="67">
        <v>215</v>
      </c>
      <c r="D86" s="68">
        <f>+'กระดาษทำการ 30 เม.ย.58'!BP84</f>
        <v>0</v>
      </c>
      <c r="E86" s="68">
        <f>+'กระดาษทำการ 30 เม.ย.58'!BQ84</f>
        <v>0</v>
      </c>
      <c r="F86" s="91"/>
      <c r="G86" s="91"/>
      <c r="H86" s="62">
        <f t="shared" si="70"/>
        <v>0</v>
      </c>
      <c r="I86" s="68"/>
      <c r="J86" s="91"/>
      <c r="K86" s="91"/>
      <c r="L86" s="68">
        <f t="shared" si="53"/>
        <v>0</v>
      </c>
      <c r="M86" s="68"/>
      <c r="N86" s="119">
        <v>200</v>
      </c>
      <c r="O86" s="119"/>
      <c r="P86" s="68">
        <f t="shared" si="54"/>
        <v>200</v>
      </c>
      <c r="Q86" s="68"/>
      <c r="R86" s="91"/>
      <c r="S86" s="91"/>
      <c r="T86" s="68">
        <f>+P86+R86-S86</f>
        <v>200</v>
      </c>
      <c r="U86" s="68"/>
      <c r="V86" s="91"/>
      <c r="W86" s="91"/>
      <c r="X86" s="68">
        <f>+T86+V86-W86</f>
        <v>200</v>
      </c>
      <c r="Y86" s="68"/>
      <c r="Z86" s="91"/>
      <c r="AA86" s="91"/>
      <c r="AB86" s="68">
        <f t="shared" si="57"/>
        <v>200</v>
      </c>
      <c r="AC86" s="68"/>
      <c r="AD86" s="91"/>
      <c r="AE86" s="91"/>
      <c r="AF86" s="68">
        <f t="shared" si="58"/>
        <v>200</v>
      </c>
      <c r="AG86" s="68"/>
      <c r="AH86" s="91"/>
      <c r="AI86" s="91"/>
      <c r="AJ86" s="68">
        <f>+AF86+AH86-AI86</f>
        <v>200</v>
      </c>
      <c r="AK86" s="68"/>
      <c r="AL86" s="91"/>
      <c r="AM86" s="91"/>
      <c r="AN86" s="68">
        <f t="shared" si="60"/>
        <v>200</v>
      </c>
      <c r="AO86" s="68"/>
      <c r="AP86" s="91"/>
      <c r="AQ86" s="91"/>
      <c r="AR86" s="62">
        <f t="shared" si="40"/>
        <v>200</v>
      </c>
      <c r="AS86" s="68">
        <f t="shared" si="69"/>
        <v>0</v>
      </c>
      <c r="AT86" s="91"/>
      <c r="AU86" s="91"/>
      <c r="AV86" s="68">
        <f t="shared" si="76"/>
        <v>200</v>
      </c>
      <c r="AW86" s="68"/>
      <c r="AX86" s="91"/>
      <c r="AY86" s="91"/>
      <c r="AZ86" s="68">
        <f t="shared" si="62"/>
        <v>200</v>
      </c>
      <c r="BA86" s="68"/>
      <c r="BB86" s="91"/>
      <c r="BC86" s="91"/>
      <c r="BD86" s="68">
        <f t="shared" ref="BD86:BD98" si="77">+AZ86+BB86-BC86</f>
        <v>200</v>
      </c>
      <c r="BE86" s="68"/>
      <c r="BF86" s="91"/>
      <c r="BG86" s="91"/>
      <c r="BH86" s="68">
        <f t="shared" ref="BH86:BH98" si="78">+BD86+BF86-BG86</f>
        <v>200</v>
      </c>
      <c r="BI86" s="68"/>
      <c r="BJ86" s="91"/>
      <c r="BK86" s="91"/>
      <c r="BL86" s="68">
        <f t="shared" ref="BL86:BL98" si="79">+BH86+BJ86-BK86</f>
        <v>200</v>
      </c>
      <c r="BM86" s="68"/>
      <c r="BN86" s="91"/>
      <c r="BO86" s="91"/>
      <c r="BP86" s="68">
        <f t="shared" ref="BP86:BP98" si="80">+BL86+BN86-BO86</f>
        <v>200</v>
      </c>
      <c r="BQ86" s="68"/>
      <c r="BR86" s="68"/>
      <c r="BS86" s="68"/>
      <c r="BT86" s="68">
        <f t="shared" si="71"/>
        <v>0</v>
      </c>
      <c r="BU86" s="68"/>
      <c r="BV86" s="31"/>
      <c r="BW86" s="32"/>
      <c r="BX86" s="27"/>
      <c r="BY86" s="32"/>
      <c r="BZ86" s="32">
        <f t="shared" si="52"/>
        <v>0</v>
      </c>
      <c r="CA86" s="32"/>
      <c r="CB86" s="32"/>
      <c r="CC86" s="32"/>
      <c r="CD86" s="32">
        <f t="shared" si="67"/>
        <v>0</v>
      </c>
      <c r="CE86" s="32"/>
      <c r="CF86" s="32"/>
      <c r="CG86" s="32"/>
    </row>
    <row r="87" spans="1:85" x14ac:dyDescent="0.5">
      <c r="A87" s="61">
        <v>82</v>
      </c>
      <c r="B87" s="81" t="s">
        <v>87</v>
      </c>
      <c r="C87" s="67">
        <v>321</v>
      </c>
      <c r="D87" s="68">
        <f>+'กระดาษทำการ 30 เม.ย.58'!BP85</f>
        <v>0</v>
      </c>
      <c r="E87" s="68">
        <f>+'กระดาษทำการ 30 เม.ย.58'!BQ85</f>
        <v>0</v>
      </c>
      <c r="F87" s="91"/>
      <c r="G87" s="91"/>
      <c r="H87" s="62">
        <f t="shared" si="70"/>
        <v>0</v>
      </c>
      <c r="I87" s="68"/>
      <c r="J87" s="91"/>
      <c r="K87" s="91"/>
      <c r="L87" s="68">
        <f t="shared" si="53"/>
        <v>0</v>
      </c>
      <c r="M87" s="68"/>
      <c r="N87" s="91"/>
      <c r="O87" s="91"/>
      <c r="P87" s="68">
        <f t="shared" si="54"/>
        <v>0</v>
      </c>
      <c r="Q87" s="68"/>
      <c r="R87" s="91"/>
      <c r="S87" s="91"/>
      <c r="T87" s="68">
        <f t="shared" si="55"/>
        <v>0</v>
      </c>
      <c r="U87" s="68"/>
      <c r="V87" s="91"/>
      <c r="W87" s="91"/>
      <c r="X87" s="68">
        <f t="shared" si="56"/>
        <v>0</v>
      </c>
      <c r="Y87" s="68"/>
      <c r="Z87" s="91"/>
      <c r="AA87" s="91"/>
      <c r="AB87" s="68">
        <f t="shared" si="57"/>
        <v>0</v>
      </c>
      <c r="AC87" s="68"/>
      <c r="AD87" s="91"/>
      <c r="AE87" s="91"/>
      <c r="AF87" s="68">
        <f t="shared" si="58"/>
        <v>0</v>
      </c>
      <c r="AG87" s="68"/>
      <c r="AH87" s="91"/>
      <c r="AI87" s="91"/>
      <c r="AJ87" s="68">
        <f t="shared" si="59"/>
        <v>0</v>
      </c>
      <c r="AK87" s="68"/>
      <c r="AL87" s="91"/>
      <c r="AM87" s="91"/>
      <c r="AN87" s="68">
        <f t="shared" si="60"/>
        <v>0</v>
      </c>
      <c r="AO87" s="68"/>
      <c r="AP87" s="91"/>
      <c r="AQ87" s="91"/>
      <c r="AR87" s="62">
        <f t="shared" si="40"/>
        <v>0</v>
      </c>
      <c r="AS87" s="68">
        <f t="shared" si="69"/>
        <v>0</v>
      </c>
      <c r="AT87" s="91"/>
      <c r="AU87" s="91"/>
      <c r="AV87" s="68">
        <f t="shared" si="76"/>
        <v>0</v>
      </c>
      <c r="AW87" s="68"/>
      <c r="AX87" s="91"/>
      <c r="AY87" s="91"/>
      <c r="AZ87" s="68">
        <f t="shared" si="62"/>
        <v>0</v>
      </c>
      <c r="BA87" s="68"/>
      <c r="BB87" s="91"/>
      <c r="BC87" s="91"/>
      <c r="BD87" s="68">
        <f t="shared" si="77"/>
        <v>0</v>
      </c>
      <c r="BE87" s="68"/>
      <c r="BF87" s="91"/>
      <c r="BG87" s="91"/>
      <c r="BH87" s="68">
        <f t="shared" si="78"/>
        <v>0</v>
      </c>
      <c r="BI87" s="68"/>
      <c r="BJ87" s="91"/>
      <c r="BK87" s="91"/>
      <c r="BL87" s="68">
        <f t="shared" si="79"/>
        <v>0</v>
      </c>
      <c r="BM87" s="68"/>
      <c r="BN87" s="91"/>
      <c r="BO87" s="91"/>
      <c r="BP87" s="68">
        <f t="shared" si="80"/>
        <v>0</v>
      </c>
      <c r="BQ87" s="68"/>
      <c r="BR87" s="68"/>
      <c r="BS87" s="68"/>
      <c r="BT87" s="68">
        <f t="shared" si="71"/>
        <v>0</v>
      </c>
      <c r="BU87" s="68"/>
      <c r="BV87" s="31"/>
      <c r="BW87" s="32"/>
      <c r="BX87" s="27"/>
      <c r="BY87" s="32"/>
      <c r="BZ87" s="32">
        <f t="shared" si="52"/>
        <v>0</v>
      </c>
      <c r="CA87" s="32"/>
      <c r="CB87" s="32">
        <f>BZ87</f>
        <v>0</v>
      </c>
      <c r="CC87" s="32"/>
      <c r="CD87" s="32"/>
      <c r="CE87" s="32"/>
      <c r="CF87" s="32"/>
      <c r="CG87" s="32"/>
    </row>
    <row r="88" spans="1:85" x14ac:dyDescent="0.5">
      <c r="A88" s="61">
        <v>83</v>
      </c>
      <c r="B88" s="81" t="s">
        <v>85</v>
      </c>
      <c r="C88" s="67">
        <v>349</v>
      </c>
      <c r="D88" s="68">
        <f>+'กระดาษทำการ 30 เม.ย.58'!BP86</f>
        <v>0</v>
      </c>
      <c r="E88" s="68">
        <f>+'กระดาษทำการ 30 เม.ย.58'!BQ86</f>
        <v>0</v>
      </c>
      <c r="F88" s="91">
        <v>500</v>
      </c>
      <c r="G88" s="91"/>
      <c r="H88" s="62">
        <f t="shared" si="70"/>
        <v>500</v>
      </c>
      <c r="I88" s="68"/>
      <c r="J88" s="91"/>
      <c r="K88" s="91"/>
      <c r="L88" s="68">
        <f t="shared" si="53"/>
        <v>500</v>
      </c>
      <c r="M88" s="68"/>
      <c r="N88" s="91"/>
      <c r="O88" s="91"/>
      <c r="P88" s="68">
        <f t="shared" si="54"/>
        <v>500</v>
      </c>
      <c r="Q88" s="68"/>
      <c r="R88" s="91"/>
      <c r="S88" s="91"/>
      <c r="T88" s="68">
        <f t="shared" si="55"/>
        <v>500</v>
      </c>
      <c r="U88" s="68"/>
      <c r="V88" s="91"/>
      <c r="W88" s="91"/>
      <c r="X88" s="68">
        <f t="shared" si="56"/>
        <v>500</v>
      </c>
      <c r="Y88" s="68"/>
      <c r="Z88" s="91">
        <v>300</v>
      </c>
      <c r="AA88" s="91"/>
      <c r="AB88" s="68">
        <f>+X88+Z88-AA88</f>
        <v>800</v>
      </c>
      <c r="AC88" s="68"/>
      <c r="AD88" s="91"/>
      <c r="AE88" s="91"/>
      <c r="AF88" s="68">
        <f t="shared" si="58"/>
        <v>800</v>
      </c>
      <c r="AG88" s="68"/>
      <c r="AH88" s="91"/>
      <c r="AI88" s="91"/>
      <c r="AJ88" s="68">
        <f t="shared" si="59"/>
        <v>800</v>
      </c>
      <c r="AK88" s="68"/>
      <c r="AL88" s="91"/>
      <c r="AM88" s="91"/>
      <c r="AN88" s="68">
        <f t="shared" si="60"/>
        <v>800</v>
      </c>
      <c r="AO88" s="68"/>
      <c r="AP88" s="91"/>
      <c r="AQ88" s="91"/>
      <c r="AR88" s="62">
        <f t="shared" si="40"/>
        <v>800</v>
      </c>
      <c r="AS88" s="68">
        <f t="shared" si="69"/>
        <v>0</v>
      </c>
      <c r="AT88" s="91"/>
      <c r="AU88" s="91"/>
      <c r="AV88" s="68">
        <f t="shared" si="76"/>
        <v>800</v>
      </c>
      <c r="AW88" s="68"/>
      <c r="AX88" s="91"/>
      <c r="AY88" s="91"/>
      <c r="AZ88" s="68">
        <f t="shared" si="62"/>
        <v>800</v>
      </c>
      <c r="BA88" s="68"/>
      <c r="BB88" s="91"/>
      <c r="BC88" s="91"/>
      <c r="BD88" s="68">
        <f t="shared" si="77"/>
        <v>800</v>
      </c>
      <c r="BE88" s="68"/>
      <c r="BF88" s="91"/>
      <c r="BG88" s="91"/>
      <c r="BH88" s="68">
        <f t="shared" si="78"/>
        <v>800</v>
      </c>
      <c r="BI88" s="68"/>
      <c r="BJ88" s="91"/>
      <c r="BK88" s="91"/>
      <c r="BL88" s="68">
        <f t="shared" si="79"/>
        <v>800</v>
      </c>
      <c r="BM88" s="68"/>
      <c r="BN88" s="91"/>
      <c r="BO88" s="91"/>
      <c r="BP88" s="68">
        <f t="shared" si="80"/>
        <v>800</v>
      </c>
      <c r="BQ88" s="68"/>
      <c r="BR88" s="68"/>
      <c r="BS88" s="68"/>
      <c r="BT88" s="68">
        <f t="shared" si="71"/>
        <v>0</v>
      </c>
      <c r="BU88" s="68"/>
      <c r="BV88" s="31"/>
      <c r="BW88" s="32"/>
      <c r="BX88" s="27"/>
      <c r="BY88" s="32"/>
      <c r="BZ88" s="32">
        <f t="shared" si="52"/>
        <v>0</v>
      </c>
      <c r="CA88" s="32"/>
      <c r="CB88" s="32"/>
      <c r="CC88" s="32"/>
      <c r="CD88" s="32">
        <f t="shared" si="67"/>
        <v>0</v>
      </c>
      <c r="CE88" s="32"/>
      <c r="CF88" s="32"/>
      <c r="CG88" s="32"/>
    </row>
    <row r="89" spans="1:85" x14ac:dyDescent="0.5">
      <c r="A89" s="61">
        <v>84</v>
      </c>
      <c r="B89" s="81" t="s">
        <v>171</v>
      </c>
      <c r="C89" s="67"/>
      <c r="D89" s="68"/>
      <c r="E89" s="68"/>
      <c r="F89" s="91"/>
      <c r="G89" s="91"/>
      <c r="H89" s="62"/>
      <c r="I89" s="68"/>
      <c r="J89" s="91"/>
      <c r="K89" s="91"/>
      <c r="L89" s="68"/>
      <c r="M89" s="68"/>
      <c r="N89" s="91"/>
      <c r="O89" s="91"/>
      <c r="P89" s="68"/>
      <c r="Q89" s="68"/>
      <c r="R89" s="91"/>
      <c r="S89" s="91"/>
      <c r="T89" s="68"/>
      <c r="U89" s="68"/>
      <c r="V89" s="91"/>
      <c r="W89" s="91"/>
      <c r="X89" s="68"/>
      <c r="Y89" s="68"/>
      <c r="Z89" s="91"/>
      <c r="AA89" s="91"/>
      <c r="AB89" s="68"/>
      <c r="AC89" s="68"/>
      <c r="AD89" s="91"/>
      <c r="AE89" s="91"/>
      <c r="AF89" s="68"/>
      <c r="AG89" s="68"/>
      <c r="AH89" s="91"/>
      <c r="AI89" s="91"/>
      <c r="AJ89" s="68"/>
      <c r="AK89" s="68"/>
      <c r="AL89" s="91"/>
      <c r="AM89" s="91"/>
      <c r="AN89" s="68"/>
      <c r="AO89" s="68"/>
      <c r="AP89" s="91"/>
      <c r="AQ89" s="91"/>
      <c r="AR89" s="62"/>
      <c r="AS89" s="68"/>
      <c r="AT89" s="91"/>
      <c r="AU89" s="91"/>
      <c r="AV89" s="68"/>
      <c r="AW89" s="68"/>
      <c r="AX89" s="91"/>
      <c r="AY89" s="91"/>
      <c r="AZ89" s="68"/>
      <c r="BA89" s="68"/>
      <c r="BB89" s="91"/>
      <c r="BC89" s="91"/>
      <c r="BD89" s="68"/>
      <c r="BE89" s="68"/>
      <c r="BF89" s="91"/>
      <c r="BG89" s="91"/>
      <c r="BH89" s="68"/>
      <c r="BI89" s="68"/>
      <c r="BJ89" s="91"/>
      <c r="BK89" s="91"/>
      <c r="BL89" s="68"/>
      <c r="BM89" s="68"/>
      <c r="BN89" s="91">
        <v>150</v>
      </c>
      <c r="BO89" s="91"/>
      <c r="BP89" s="68"/>
      <c r="BQ89" s="68"/>
      <c r="BR89" s="68"/>
      <c r="BS89" s="68"/>
      <c r="BT89" s="68"/>
      <c r="BU89" s="68"/>
      <c r="BV89" s="31"/>
      <c r="BW89" s="32"/>
      <c r="BX89" s="27"/>
      <c r="BY89" s="32"/>
      <c r="BZ89" s="32"/>
      <c r="CA89" s="32"/>
      <c r="CB89" s="32"/>
      <c r="CC89" s="32"/>
      <c r="CD89" s="32"/>
      <c r="CE89" s="32"/>
      <c r="CF89" s="32"/>
      <c r="CG89" s="32"/>
    </row>
    <row r="90" spans="1:85" x14ac:dyDescent="0.5">
      <c r="A90" s="61">
        <v>85</v>
      </c>
      <c r="B90" s="81" t="s">
        <v>151</v>
      </c>
      <c r="C90" s="67"/>
      <c r="D90" s="68"/>
      <c r="E90" s="68"/>
      <c r="F90" s="91">
        <v>1000</v>
      </c>
      <c r="G90" s="91"/>
      <c r="H90" s="62">
        <f t="shared" si="70"/>
        <v>1000</v>
      </c>
      <c r="I90" s="68"/>
      <c r="J90" s="91"/>
      <c r="K90" s="91"/>
      <c r="L90" s="68">
        <f t="shared" si="53"/>
        <v>1000</v>
      </c>
      <c r="M90" s="68"/>
      <c r="N90" s="91"/>
      <c r="O90" s="91"/>
      <c r="P90" s="68">
        <f t="shared" si="54"/>
        <v>1000</v>
      </c>
      <c r="Q90" s="68"/>
      <c r="R90" s="91"/>
      <c r="S90" s="91"/>
      <c r="T90" s="68">
        <f t="shared" si="55"/>
        <v>1000</v>
      </c>
      <c r="U90" s="68"/>
      <c r="V90" s="91"/>
      <c r="W90" s="91"/>
      <c r="X90" s="68">
        <f t="shared" si="56"/>
        <v>1000</v>
      </c>
      <c r="Y90" s="68"/>
      <c r="Z90" s="91"/>
      <c r="AA90" s="91"/>
      <c r="AB90" s="68">
        <f t="shared" si="57"/>
        <v>1000</v>
      </c>
      <c r="AC90" s="68"/>
      <c r="AD90" s="91"/>
      <c r="AE90" s="91"/>
      <c r="AF90" s="68">
        <f t="shared" si="58"/>
        <v>1000</v>
      </c>
      <c r="AG90" s="68"/>
      <c r="AH90" s="91">
        <v>300</v>
      </c>
      <c r="AI90" s="91"/>
      <c r="AJ90" s="68">
        <f t="shared" si="59"/>
        <v>1300</v>
      </c>
      <c r="AK90" s="68"/>
      <c r="AL90" s="91"/>
      <c r="AM90" s="91"/>
      <c r="AN90" s="68">
        <f t="shared" si="60"/>
        <v>1300</v>
      </c>
      <c r="AO90" s="68"/>
      <c r="AP90" s="91"/>
      <c r="AQ90" s="91"/>
      <c r="AR90" s="62">
        <f t="shared" si="40"/>
        <v>1300</v>
      </c>
      <c r="AS90" s="68">
        <f t="shared" si="69"/>
        <v>0</v>
      </c>
      <c r="AT90" s="91">
        <v>100</v>
      </c>
      <c r="AU90" s="91"/>
      <c r="AV90" s="68">
        <f t="shared" si="76"/>
        <v>1400</v>
      </c>
      <c r="AW90" s="68"/>
      <c r="AX90" s="91"/>
      <c r="AY90" s="91"/>
      <c r="AZ90" s="68">
        <f t="shared" si="62"/>
        <v>1400</v>
      </c>
      <c r="BA90" s="68"/>
      <c r="BB90" s="91">
        <v>500</v>
      </c>
      <c r="BC90" s="91"/>
      <c r="BD90" s="68">
        <f t="shared" si="77"/>
        <v>1900</v>
      </c>
      <c r="BE90" s="68"/>
      <c r="BF90" s="91"/>
      <c r="BG90" s="91"/>
      <c r="BH90" s="68">
        <f t="shared" si="78"/>
        <v>1900</v>
      </c>
      <c r="BI90" s="68"/>
      <c r="BJ90" s="91"/>
      <c r="BK90" s="91"/>
      <c r="BL90" s="68">
        <f t="shared" si="79"/>
        <v>1900</v>
      </c>
      <c r="BM90" s="68"/>
      <c r="BN90" s="91"/>
      <c r="BO90" s="91"/>
      <c r="BP90" s="68">
        <f t="shared" si="80"/>
        <v>1900</v>
      </c>
      <c r="BQ90" s="68"/>
      <c r="BR90" s="68"/>
      <c r="BS90" s="68"/>
      <c r="BT90" s="68"/>
      <c r="BU90" s="68"/>
      <c r="BV90" s="31"/>
      <c r="BW90" s="32"/>
      <c r="BX90" s="27"/>
      <c r="BY90" s="32"/>
      <c r="BZ90" s="32"/>
      <c r="CA90" s="32"/>
      <c r="CB90" s="32"/>
      <c r="CC90" s="32"/>
      <c r="CD90" s="32"/>
      <c r="CE90" s="32"/>
      <c r="CF90" s="32"/>
      <c r="CG90" s="32"/>
    </row>
    <row r="91" spans="1:85" x14ac:dyDescent="0.5">
      <c r="A91" s="61">
        <v>86</v>
      </c>
      <c r="B91" s="81" t="s">
        <v>92</v>
      </c>
      <c r="C91" s="67"/>
      <c r="D91" s="68">
        <f>+'กระดาษทำการ 30 เม.ย.58'!BP87</f>
        <v>0</v>
      </c>
      <c r="E91" s="68">
        <f>+'กระดาษทำการ 30 เม.ย.58'!BQ87</f>
        <v>0</v>
      </c>
      <c r="F91" s="91"/>
      <c r="G91" s="91"/>
      <c r="H91" s="62">
        <f t="shared" si="70"/>
        <v>0</v>
      </c>
      <c r="I91" s="68"/>
      <c r="J91" s="91"/>
      <c r="K91" s="91"/>
      <c r="L91" s="68">
        <f>+H91+J91-K91</f>
        <v>0</v>
      </c>
      <c r="M91" s="68"/>
      <c r="N91" s="91"/>
      <c r="O91" s="91"/>
      <c r="P91" s="68">
        <f>+L91+N91-O91</f>
        <v>0</v>
      </c>
      <c r="Q91" s="68"/>
      <c r="R91" s="91"/>
      <c r="S91" s="91"/>
      <c r="T91" s="68">
        <f t="shared" si="55"/>
        <v>0</v>
      </c>
      <c r="U91" s="68"/>
      <c r="V91" s="91"/>
      <c r="W91" s="91"/>
      <c r="X91" s="68">
        <f t="shared" si="56"/>
        <v>0</v>
      </c>
      <c r="Y91" s="68"/>
      <c r="Z91" s="91"/>
      <c r="AA91" s="91"/>
      <c r="AB91" s="68">
        <f t="shared" si="57"/>
        <v>0</v>
      </c>
      <c r="AC91" s="68"/>
      <c r="AD91" s="91"/>
      <c r="AE91" s="91"/>
      <c r="AF91" s="68">
        <f t="shared" si="58"/>
        <v>0</v>
      </c>
      <c r="AG91" s="68"/>
      <c r="AH91" s="91"/>
      <c r="AI91" s="91"/>
      <c r="AJ91" s="68">
        <f>+AF91+AH91-AI91</f>
        <v>0</v>
      </c>
      <c r="AK91" s="68"/>
      <c r="AL91" s="91"/>
      <c r="AM91" s="91"/>
      <c r="AN91" s="68">
        <f t="shared" si="60"/>
        <v>0</v>
      </c>
      <c r="AO91" s="68"/>
      <c r="AP91" s="91"/>
      <c r="AQ91" s="91"/>
      <c r="AR91" s="62">
        <f t="shared" si="40"/>
        <v>0</v>
      </c>
      <c r="AS91" s="68">
        <f t="shared" si="69"/>
        <v>0</v>
      </c>
      <c r="AT91" s="91"/>
      <c r="AU91" s="91"/>
      <c r="AV91" s="68">
        <f t="shared" si="76"/>
        <v>0</v>
      </c>
      <c r="AW91" s="68"/>
      <c r="AX91" s="91"/>
      <c r="AY91" s="91"/>
      <c r="AZ91" s="68">
        <f t="shared" si="62"/>
        <v>0</v>
      </c>
      <c r="BA91" s="68"/>
      <c r="BB91" s="91"/>
      <c r="BC91" s="91"/>
      <c r="BD91" s="68">
        <f t="shared" si="77"/>
        <v>0</v>
      </c>
      <c r="BE91" s="68"/>
      <c r="BF91" s="91"/>
      <c r="BG91" s="91"/>
      <c r="BH91" s="68">
        <f t="shared" si="78"/>
        <v>0</v>
      </c>
      <c r="BI91" s="68"/>
      <c r="BJ91" s="91"/>
      <c r="BK91" s="91"/>
      <c r="BL91" s="68">
        <f t="shared" si="79"/>
        <v>0</v>
      </c>
      <c r="BM91" s="68"/>
      <c r="BN91" s="91"/>
      <c r="BO91" s="91"/>
      <c r="BP91" s="68">
        <f t="shared" si="80"/>
        <v>0</v>
      </c>
      <c r="BQ91" s="68"/>
      <c r="BR91" s="68"/>
      <c r="BS91" s="68"/>
      <c r="BT91" s="68">
        <f>D91+BR91-BS91</f>
        <v>0</v>
      </c>
      <c r="BU91" s="68"/>
      <c r="BV91" s="31"/>
      <c r="BW91" s="32"/>
      <c r="BX91" s="27">
        <v>9</v>
      </c>
      <c r="BY91" s="32">
        <v>91565.73</v>
      </c>
      <c r="BZ91" s="32"/>
      <c r="CA91" s="32">
        <f>BY91</f>
        <v>91565.73</v>
      </c>
      <c r="CB91" s="32"/>
      <c r="CC91" s="32"/>
      <c r="CD91" s="32">
        <f>BZ91</f>
        <v>0</v>
      </c>
      <c r="CE91" s="32">
        <f>CA91</f>
        <v>91565.73</v>
      </c>
      <c r="CF91" s="32"/>
      <c r="CG91" s="32"/>
    </row>
    <row r="92" spans="1:85" x14ac:dyDescent="0.5">
      <c r="A92" s="61">
        <v>87</v>
      </c>
      <c r="B92" s="81" t="s">
        <v>89</v>
      </c>
      <c r="C92" s="67"/>
      <c r="D92" s="68">
        <f>+'กระดาษทำการ 30 เม.ย.58'!BP88</f>
        <v>0</v>
      </c>
      <c r="E92" s="68">
        <f>+'กระดาษทำการ 30 เม.ย.58'!BQ88</f>
        <v>0</v>
      </c>
      <c r="F92" s="91"/>
      <c r="G92" s="91"/>
      <c r="H92" s="62">
        <f t="shared" si="70"/>
        <v>0</v>
      </c>
      <c r="I92" s="68"/>
      <c r="J92" s="91"/>
      <c r="K92" s="91"/>
      <c r="L92" s="68">
        <f t="shared" si="53"/>
        <v>0</v>
      </c>
      <c r="M92" s="68"/>
      <c r="N92" s="91"/>
      <c r="O92" s="91"/>
      <c r="P92" s="68">
        <f t="shared" si="54"/>
        <v>0</v>
      </c>
      <c r="Q92" s="68"/>
      <c r="R92" s="91"/>
      <c r="S92" s="91"/>
      <c r="T92" s="68">
        <f t="shared" si="55"/>
        <v>0</v>
      </c>
      <c r="U92" s="68"/>
      <c r="V92" s="91"/>
      <c r="W92" s="91"/>
      <c r="X92" s="68">
        <f t="shared" si="56"/>
        <v>0</v>
      </c>
      <c r="Y92" s="68"/>
      <c r="Z92" s="91"/>
      <c r="AA92" s="91"/>
      <c r="AB92" s="68">
        <f t="shared" si="57"/>
        <v>0</v>
      </c>
      <c r="AC92" s="68"/>
      <c r="AD92" s="91"/>
      <c r="AE92" s="91"/>
      <c r="AF92" s="68">
        <f t="shared" si="58"/>
        <v>0</v>
      </c>
      <c r="AG92" s="68"/>
      <c r="AH92" s="91"/>
      <c r="AI92" s="91"/>
      <c r="AJ92" s="68">
        <f t="shared" si="59"/>
        <v>0</v>
      </c>
      <c r="AK92" s="68"/>
      <c r="AL92" s="91"/>
      <c r="AM92" s="91"/>
      <c r="AN92" s="68">
        <f t="shared" si="60"/>
        <v>0</v>
      </c>
      <c r="AO92" s="68"/>
      <c r="AP92" s="91"/>
      <c r="AQ92" s="91"/>
      <c r="AR92" s="62">
        <f t="shared" si="40"/>
        <v>0</v>
      </c>
      <c r="AS92" s="68">
        <f t="shared" si="69"/>
        <v>0</v>
      </c>
      <c r="AT92" s="91"/>
      <c r="AU92" s="91"/>
      <c r="AV92" s="68">
        <f t="shared" si="76"/>
        <v>0</v>
      </c>
      <c r="AW92" s="68"/>
      <c r="AX92" s="91"/>
      <c r="AY92" s="91"/>
      <c r="AZ92" s="68">
        <f t="shared" si="62"/>
        <v>0</v>
      </c>
      <c r="BA92" s="68"/>
      <c r="BB92" s="91"/>
      <c r="BC92" s="91"/>
      <c r="BD92" s="68">
        <f t="shared" si="77"/>
        <v>0</v>
      </c>
      <c r="BE92" s="68"/>
      <c r="BF92" s="91"/>
      <c r="BG92" s="91"/>
      <c r="BH92" s="68">
        <f t="shared" si="78"/>
        <v>0</v>
      </c>
      <c r="BI92" s="68"/>
      <c r="BJ92" s="91"/>
      <c r="BK92" s="91"/>
      <c r="BL92" s="68">
        <f t="shared" si="79"/>
        <v>0</v>
      </c>
      <c r="BM92" s="68"/>
      <c r="BN92" s="91"/>
      <c r="BO92" s="91"/>
      <c r="BP92" s="68">
        <f t="shared" si="80"/>
        <v>0</v>
      </c>
      <c r="BQ92" s="68"/>
      <c r="BR92" s="68"/>
      <c r="BS92" s="68"/>
      <c r="BT92" s="68">
        <f>D92+BR92-BS92</f>
        <v>0</v>
      </c>
      <c r="BU92" s="68"/>
      <c r="BV92" s="31"/>
      <c r="BW92" s="32"/>
      <c r="BX92" s="27">
        <v>3</v>
      </c>
      <c r="BY92" s="32">
        <v>36171.5</v>
      </c>
      <c r="BZ92" s="32"/>
      <c r="CA92" s="32">
        <f>BY92</f>
        <v>36171.5</v>
      </c>
      <c r="CB92" s="32"/>
      <c r="CC92" s="32"/>
      <c r="CD92" s="32">
        <f>BZ92</f>
        <v>0</v>
      </c>
      <c r="CE92" s="32">
        <f>CA92</f>
        <v>36171.5</v>
      </c>
      <c r="CF92" s="32"/>
      <c r="CG92" s="32"/>
    </row>
    <row r="93" spans="1:85" x14ac:dyDescent="0.5">
      <c r="A93" s="61">
        <v>88</v>
      </c>
      <c r="B93" s="81" t="s">
        <v>90</v>
      </c>
      <c r="C93" s="67"/>
      <c r="D93" s="68">
        <f>+'กระดาษทำการ 30 เม.ย.58'!BP89</f>
        <v>0</v>
      </c>
      <c r="E93" s="68">
        <f>+'กระดาษทำการ 30 เม.ย.58'!BQ89</f>
        <v>0</v>
      </c>
      <c r="F93" s="91"/>
      <c r="G93" s="91"/>
      <c r="H93" s="62">
        <f t="shared" si="70"/>
        <v>0</v>
      </c>
      <c r="I93" s="68"/>
      <c r="J93" s="91"/>
      <c r="K93" s="91"/>
      <c r="L93" s="68">
        <f t="shared" si="53"/>
        <v>0</v>
      </c>
      <c r="M93" s="68"/>
      <c r="N93" s="91"/>
      <c r="O93" s="91"/>
      <c r="P93" s="68">
        <f t="shared" si="54"/>
        <v>0</v>
      </c>
      <c r="Q93" s="68"/>
      <c r="R93" s="91"/>
      <c r="S93" s="91"/>
      <c r="T93" s="68">
        <f>+P93+R93-S93</f>
        <v>0</v>
      </c>
      <c r="U93" s="68"/>
      <c r="V93" s="91"/>
      <c r="W93" s="91"/>
      <c r="X93" s="68">
        <f t="shared" si="56"/>
        <v>0</v>
      </c>
      <c r="Y93" s="68"/>
      <c r="Z93" s="91"/>
      <c r="AA93" s="91"/>
      <c r="AB93" s="68">
        <f t="shared" si="57"/>
        <v>0</v>
      </c>
      <c r="AC93" s="68"/>
      <c r="AD93" s="91"/>
      <c r="AE93" s="91"/>
      <c r="AF93" s="68">
        <f t="shared" si="58"/>
        <v>0</v>
      </c>
      <c r="AG93" s="68"/>
      <c r="AH93" s="91"/>
      <c r="AI93" s="91"/>
      <c r="AJ93" s="68">
        <f t="shared" si="59"/>
        <v>0</v>
      </c>
      <c r="AK93" s="68"/>
      <c r="AL93" s="91"/>
      <c r="AM93" s="91"/>
      <c r="AN93" s="68">
        <f t="shared" si="60"/>
        <v>0</v>
      </c>
      <c r="AO93" s="68"/>
      <c r="AP93" s="91"/>
      <c r="AQ93" s="91"/>
      <c r="AR93" s="62">
        <f t="shared" si="40"/>
        <v>0</v>
      </c>
      <c r="AS93" s="68">
        <f t="shared" si="69"/>
        <v>0</v>
      </c>
      <c r="AT93" s="91"/>
      <c r="AU93" s="91"/>
      <c r="AV93" s="68">
        <f t="shared" si="76"/>
        <v>0</v>
      </c>
      <c r="AW93" s="68"/>
      <c r="AX93" s="91"/>
      <c r="AY93" s="91"/>
      <c r="AZ93" s="68">
        <f t="shared" si="62"/>
        <v>0</v>
      </c>
      <c r="BA93" s="68"/>
      <c r="BB93" s="91"/>
      <c r="BC93" s="91"/>
      <c r="BD93" s="68">
        <f t="shared" si="77"/>
        <v>0</v>
      </c>
      <c r="BE93" s="68"/>
      <c r="BF93" s="91"/>
      <c r="BG93" s="91"/>
      <c r="BH93" s="68">
        <f t="shared" si="78"/>
        <v>0</v>
      </c>
      <c r="BI93" s="68"/>
      <c r="BJ93" s="91"/>
      <c r="BK93" s="91"/>
      <c r="BL93" s="68">
        <f t="shared" si="79"/>
        <v>0</v>
      </c>
      <c r="BM93" s="68"/>
      <c r="BN93" s="91"/>
      <c r="BO93" s="91"/>
      <c r="BP93" s="68">
        <f t="shared" si="80"/>
        <v>0</v>
      </c>
      <c r="BQ93" s="68"/>
      <c r="BR93" s="68"/>
      <c r="BS93" s="68"/>
      <c r="BT93" s="68"/>
      <c r="BU93" s="68"/>
      <c r="BV93" s="31"/>
      <c r="BW93" s="32"/>
      <c r="BX93" s="27">
        <v>10</v>
      </c>
      <c r="BY93" s="32">
        <f>82916.1</f>
        <v>82916.100000000006</v>
      </c>
      <c r="BZ93" s="32"/>
      <c r="CA93" s="32">
        <f>BY93</f>
        <v>82916.100000000006</v>
      </c>
      <c r="CB93" s="32"/>
      <c r="CC93" s="32"/>
      <c r="CD93" s="32"/>
      <c r="CE93" s="32">
        <f>CA93</f>
        <v>82916.100000000006</v>
      </c>
      <c r="CF93" s="32"/>
      <c r="CG93" s="32"/>
    </row>
    <row r="94" spans="1:85" x14ac:dyDescent="0.5">
      <c r="A94" s="61">
        <v>89</v>
      </c>
      <c r="B94" s="81" t="s">
        <v>91</v>
      </c>
      <c r="C94" s="67"/>
      <c r="D94" s="68">
        <f>+'กระดาษทำการ 30 เม.ย.58'!BP90</f>
        <v>0</v>
      </c>
      <c r="E94" s="68">
        <f>+'กระดาษทำการ 30 เม.ย.58'!BQ90</f>
        <v>0</v>
      </c>
      <c r="F94" s="91"/>
      <c r="G94" s="91"/>
      <c r="H94" s="62">
        <f t="shared" si="70"/>
        <v>0</v>
      </c>
      <c r="I94" s="68"/>
      <c r="J94" s="91"/>
      <c r="K94" s="91"/>
      <c r="L94" s="68">
        <f>+H94+J94-K94</f>
        <v>0</v>
      </c>
      <c r="M94" s="68"/>
      <c r="N94" s="91"/>
      <c r="O94" s="91"/>
      <c r="P94" s="68">
        <f t="shared" si="54"/>
        <v>0</v>
      </c>
      <c r="Q94" s="68"/>
      <c r="R94" s="91"/>
      <c r="S94" s="91"/>
      <c r="T94" s="68">
        <f t="shared" si="55"/>
        <v>0</v>
      </c>
      <c r="U94" s="68"/>
      <c r="V94" s="91"/>
      <c r="W94" s="91"/>
      <c r="X94" s="68">
        <f t="shared" si="56"/>
        <v>0</v>
      </c>
      <c r="Y94" s="68"/>
      <c r="Z94" s="91"/>
      <c r="AA94" s="91"/>
      <c r="AB94" s="68">
        <f t="shared" si="57"/>
        <v>0</v>
      </c>
      <c r="AC94" s="68"/>
      <c r="AD94" s="91"/>
      <c r="AE94" s="91"/>
      <c r="AF94" s="68">
        <f t="shared" si="58"/>
        <v>0</v>
      </c>
      <c r="AG94" s="68"/>
      <c r="AH94" s="91"/>
      <c r="AI94" s="91"/>
      <c r="AJ94" s="68">
        <f t="shared" si="59"/>
        <v>0</v>
      </c>
      <c r="AK94" s="68"/>
      <c r="AL94" s="91"/>
      <c r="AM94" s="91"/>
      <c r="AN94" s="68">
        <f t="shared" si="60"/>
        <v>0</v>
      </c>
      <c r="AO94" s="68"/>
      <c r="AP94" s="91"/>
      <c r="AQ94" s="91"/>
      <c r="AR94" s="62">
        <f t="shared" si="40"/>
        <v>0</v>
      </c>
      <c r="AS94" s="68">
        <f t="shared" si="69"/>
        <v>0</v>
      </c>
      <c r="AT94" s="91"/>
      <c r="AU94" s="91"/>
      <c r="AV94" s="68">
        <f t="shared" si="76"/>
        <v>0</v>
      </c>
      <c r="AW94" s="68"/>
      <c r="AX94" s="91"/>
      <c r="AY94" s="91"/>
      <c r="AZ94" s="68">
        <f t="shared" si="62"/>
        <v>0</v>
      </c>
      <c r="BA94" s="68"/>
      <c r="BB94" s="91"/>
      <c r="BC94" s="91"/>
      <c r="BD94" s="68">
        <f t="shared" si="77"/>
        <v>0</v>
      </c>
      <c r="BE94" s="68"/>
      <c r="BF94" s="91"/>
      <c r="BG94" s="91"/>
      <c r="BH94" s="68">
        <f t="shared" si="78"/>
        <v>0</v>
      </c>
      <c r="BI94" s="68"/>
      <c r="BJ94" s="91"/>
      <c r="BK94" s="91"/>
      <c r="BL94" s="68">
        <f t="shared" si="79"/>
        <v>0</v>
      </c>
      <c r="BM94" s="68"/>
      <c r="BN94" s="91"/>
      <c r="BO94" s="91"/>
      <c r="BP94" s="68">
        <f t="shared" si="80"/>
        <v>0</v>
      </c>
      <c r="BQ94" s="68"/>
      <c r="BR94" s="68"/>
      <c r="BS94" s="68"/>
      <c r="BT94" s="68"/>
      <c r="BU94" s="68"/>
      <c r="BV94" s="31"/>
      <c r="BW94" s="32"/>
      <c r="BX94" s="27">
        <v>11</v>
      </c>
      <c r="BY94" s="32">
        <v>20533.11</v>
      </c>
      <c r="BZ94" s="32"/>
      <c r="CA94" s="32">
        <f>BY94</f>
        <v>20533.11</v>
      </c>
      <c r="CB94" s="32"/>
      <c r="CC94" s="32"/>
      <c r="CD94" s="32"/>
      <c r="CE94" s="32">
        <f>CA94</f>
        <v>20533.11</v>
      </c>
      <c r="CF94" s="32"/>
      <c r="CG94" s="32"/>
    </row>
    <row r="95" spans="1:85" x14ac:dyDescent="0.5">
      <c r="A95" s="61">
        <v>90</v>
      </c>
      <c r="B95" s="81" t="s">
        <v>76</v>
      </c>
      <c r="C95" s="67"/>
      <c r="D95" s="68">
        <f>+'กระดาษทำการ 30 เม.ย.58'!BP91</f>
        <v>0</v>
      </c>
      <c r="E95" s="68">
        <f>+'กระดาษทำการ 30 เม.ย.58'!BQ91</f>
        <v>0</v>
      </c>
      <c r="F95" s="91"/>
      <c r="G95" s="91"/>
      <c r="H95" s="68">
        <f t="shared" si="70"/>
        <v>0</v>
      </c>
      <c r="I95" s="68"/>
      <c r="J95" s="91"/>
      <c r="K95" s="91"/>
      <c r="L95" s="68">
        <f>+H95+J95-K95</f>
        <v>0</v>
      </c>
      <c r="M95" s="68"/>
      <c r="N95" s="91"/>
      <c r="O95" s="91"/>
      <c r="P95" s="68">
        <f t="shared" si="54"/>
        <v>0</v>
      </c>
      <c r="Q95" s="68"/>
      <c r="R95" s="91"/>
      <c r="S95" s="91"/>
      <c r="T95" s="68">
        <f t="shared" si="55"/>
        <v>0</v>
      </c>
      <c r="U95" s="68"/>
      <c r="V95" s="91"/>
      <c r="W95" s="91"/>
      <c r="X95" s="68">
        <f t="shared" si="56"/>
        <v>0</v>
      </c>
      <c r="Y95" s="68"/>
      <c r="Z95" s="91"/>
      <c r="AA95" s="91"/>
      <c r="AB95" s="68">
        <f t="shared" si="57"/>
        <v>0</v>
      </c>
      <c r="AC95" s="68"/>
      <c r="AD95" s="91"/>
      <c r="AE95" s="91"/>
      <c r="AF95" s="68">
        <f t="shared" si="58"/>
        <v>0</v>
      </c>
      <c r="AG95" s="68"/>
      <c r="AH95" s="91"/>
      <c r="AI95" s="91"/>
      <c r="AJ95" s="68">
        <f t="shared" si="59"/>
        <v>0</v>
      </c>
      <c r="AK95" s="68"/>
      <c r="AL95" s="91"/>
      <c r="AM95" s="91"/>
      <c r="AN95" s="68">
        <f t="shared" si="60"/>
        <v>0</v>
      </c>
      <c r="AO95" s="68"/>
      <c r="AP95" s="91"/>
      <c r="AQ95" s="91"/>
      <c r="AR95" s="68">
        <f t="shared" si="40"/>
        <v>0</v>
      </c>
      <c r="AS95" s="68">
        <f t="shared" si="69"/>
        <v>0</v>
      </c>
      <c r="AT95" s="91"/>
      <c r="AU95" s="91"/>
      <c r="AV95" s="68">
        <f t="shared" si="76"/>
        <v>0</v>
      </c>
      <c r="AW95" s="68"/>
      <c r="AX95" s="117"/>
      <c r="AY95" s="91"/>
      <c r="AZ95" s="68">
        <f t="shared" si="62"/>
        <v>0</v>
      </c>
      <c r="BA95" s="68"/>
      <c r="BB95" s="117"/>
      <c r="BC95" s="91"/>
      <c r="BD95" s="68">
        <f t="shared" si="77"/>
        <v>0</v>
      </c>
      <c r="BE95" s="68"/>
      <c r="BF95" s="117"/>
      <c r="BG95" s="91"/>
      <c r="BH95" s="68">
        <f t="shared" si="78"/>
        <v>0</v>
      </c>
      <c r="BI95" s="68"/>
      <c r="BJ95" s="117"/>
      <c r="BK95" s="91"/>
      <c r="BL95" s="68">
        <f t="shared" si="79"/>
        <v>0</v>
      </c>
      <c r="BM95" s="68"/>
      <c r="BN95" s="117"/>
      <c r="BO95" s="91"/>
      <c r="BP95" s="68">
        <f t="shared" si="80"/>
        <v>0</v>
      </c>
      <c r="BQ95" s="68"/>
      <c r="BR95" s="68"/>
      <c r="BS95" s="68"/>
      <c r="BT95" s="68">
        <f>D95+BR95-BS95</f>
        <v>0</v>
      </c>
      <c r="BU95" s="68"/>
      <c r="BV95" s="31">
        <v>4</v>
      </c>
      <c r="BW95" s="32">
        <v>7412</v>
      </c>
      <c r="BX95" s="27"/>
      <c r="BY95" s="32"/>
      <c r="BZ95" s="32">
        <f t="shared" si="52"/>
        <v>7412</v>
      </c>
      <c r="CA95" s="32"/>
      <c r="CB95" s="32"/>
      <c r="CC95" s="32"/>
      <c r="CD95" s="32">
        <f>BZ95</f>
        <v>7412</v>
      </c>
      <c r="CE95" s="32"/>
      <c r="CF95" s="32"/>
      <c r="CG95" s="32"/>
    </row>
    <row r="96" spans="1:85" x14ac:dyDescent="0.5">
      <c r="A96" s="61">
        <v>91</v>
      </c>
      <c r="B96" s="81" t="s">
        <v>94</v>
      </c>
      <c r="C96" s="67"/>
      <c r="D96" s="68">
        <f>+'กระดาษทำการ 30 เม.ย.58'!BP92</f>
        <v>0</v>
      </c>
      <c r="E96" s="68">
        <f>+'กระดาษทำการ 30 เม.ย.58'!BQ92</f>
        <v>0</v>
      </c>
      <c r="F96" s="91"/>
      <c r="G96" s="91"/>
      <c r="H96" s="68">
        <f t="shared" si="70"/>
        <v>0</v>
      </c>
      <c r="I96" s="68"/>
      <c r="J96" s="91"/>
      <c r="K96" s="91"/>
      <c r="L96" s="68">
        <f>+H96+J96-K96</f>
        <v>0</v>
      </c>
      <c r="M96" s="68"/>
      <c r="N96" s="91"/>
      <c r="O96" s="91"/>
      <c r="P96" s="68">
        <f>+L96+N96-O96</f>
        <v>0</v>
      </c>
      <c r="Q96" s="68"/>
      <c r="R96" s="91"/>
      <c r="S96" s="91"/>
      <c r="T96" s="68">
        <f t="shared" si="55"/>
        <v>0</v>
      </c>
      <c r="U96" s="68"/>
      <c r="V96" s="91"/>
      <c r="W96" s="91"/>
      <c r="X96" s="68">
        <f t="shared" si="56"/>
        <v>0</v>
      </c>
      <c r="Y96" s="68"/>
      <c r="Z96" s="91"/>
      <c r="AA96" s="91"/>
      <c r="AB96" s="68">
        <f>+X96+Z96-AA96</f>
        <v>0</v>
      </c>
      <c r="AC96" s="68"/>
      <c r="AD96" s="91"/>
      <c r="AE96" s="91"/>
      <c r="AF96" s="68">
        <f t="shared" si="58"/>
        <v>0</v>
      </c>
      <c r="AG96" s="68"/>
      <c r="AH96" s="91"/>
      <c r="AI96" s="91"/>
      <c r="AJ96" s="68">
        <f t="shared" si="59"/>
        <v>0</v>
      </c>
      <c r="AK96" s="68"/>
      <c r="AL96" s="91"/>
      <c r="AM96" s="91"/>
      <c r="AN96" s="68">
        <f t="shared" si="60"/>
        <v>0</v>
      </c>
      <c r="AO96" s="68"/>
      <c r="AP96" s="91"/>
      <c r="AQ96" s="91"/>
      <c r="AR96" s="62">
        <f t="shared" si="40"/>
        <v>0</v>
      </c>
      <c r="AS96" s="68">
        <f t="shared" si="69"/>
        <v>0</v>
      </c>
      <c r="AT96" s="91"/>
      <c r="AU96" s="91"/>
      <c r="AV96" s="68">
        <f t="shared" si="76"/>
        <v>0</v>
      </c>
      <c r="AW96" s="68"/>
      <c r="AX96" s="117"/>
      <c r="AY96" s="91"/>
      <c r="AZ96" s="68">
        <f t="shared" si="62"/>
        <v>0</v>
      </c>
      <c r="BA96" s="68"/>
      <c r="BB96" s="117"/>
      <c r="BC96" s="91"/>
      <c r="BD96" s="68">
        <f t="shared" si="77"/>
        <v>0</v>
      </c>
      <c r="BE96" s="68"/>
      <c r="BF96" s="117"/>
      <c r="BG96" s="91"/>
      <c r="BH96" s="68">
        <f t="shared" si="78"/>
        <v>0</v>
      </c>
      <c r="BI96" s="68"/>
      <c r="BJ96" s="117"/>
      <c r="BK96" s="91"/>
      <c r="BL96" s="68">
        <f t="shared" si="79"/>
        <v>0</v>
      </c>
      <c r="BM96" s="68"/>
      <c r="BN96" s="117"/>
      <c r="BO96" s="91"/>
      <c r="BP96" s="68">
        <f t="shared" si="80"/>
        <v>0</v>
      </c>
      <c r="BQ96" s="68"/>
      <c r="BR96" s="68"/>
      <c r="BS96" s="68"/>
      <c r="BT96" s="68"/>
      <c r="BU96" s="68"/>
      <c r="BV96" s="31"/>
      <c r="BW96" s="32"/>
      <c r="BX96" s="27">
        <v>13</v>
      </c>
      <c r="BY96" s="32">
        <v>2978</v>
      </c>
      <c r="BZ96" s="32"/>
      <c r="CA96" s="32">
        <f>BY96</f>
        <v>2978</v>
      </c>
      <c r="CB96" s="32"/>
      <c r="CC96" s="32"/>
      <c r="CD96" s="32"/>
      <c r="CE96" s="32">
        <f>BY96</f>
        <v>2978</v>
      </c>
      <c r="CF96" s="32"/>
      <c r="CG96" s="32"/>
    </row>
    <row r="97" spans="1:86" ht="18" customHeight="1" x14ac:dyDescent="0.5">
      <c r="A97" s="61">
        <v>92</v>
      </c>
      <c r="B97" s="81" t="s">
        <v>138</v>
      </c>
      <c r="C97" s="67"/>
      <c r="D97" s="68">
        <f>+'กระดาษทำการ 30 เม.ย.58'!BP93</f>
        <v>6703</v>
      </c>
      <c r="E97" s="68">
        <f>+'กระดาษทำการ 30 เม.ย.58'!BQ93</f>
        <v>0</v>
      </c>
      <c r="F97" s="91"/>
      <c r="G97" s="91"/>
      <c r="H97" s="62">
        <f t="shared" si="70"/>
        <v>6703</v>
      </c>
      <c r="I97" s="68"/>
      <c r="J97" s="91"/>
      <c r="K97" s="91"/>
      <c r="L97" s="68">
        <f>+H97+J97-K97</f>
        <v>6703</v>
      </c>
      <c r="M97" s="68"/>
      <c r="N97" s="91"/>
      <c r="O97" s="91"/>
      <c r="P97" s="68">
        <f t="shared" si="54"/>
        <v>6703</v>
      </c>
      <c r="Q97" s="68"/>
      <c r="R97" s="91"/>
      <c r="S97" s="91"/>
      <c r="T97" s="68">
        <f t="shared" si="55"/>
        <v>6703</v>
      </c>
      <c r="U97" s="68"/>
      <c r="V97" s="91"/>
      <c r="W97" s="91"/>
      <c r="X97" s="68">
        <f t="shared" si="56"/>
        <v>6703</v>
      </c>
      <c r="Y97" s="68"/>
      <c r="Z97" s="91"/>
      <c r="AA97" s="91"/>
      <c r="AB97" s="68">
        <f t="shared" si="57"/>
        <v>6703</v>
      </c>
      <c r="AC97" s="68"/>
      <c r="AD97" s="91"/>
      <c r="AE97" s="91"/>
      <c r="AF97" s="68">
        <f t="shared" si="58"/>
        <v>6703</v>
      </c>
      <c r="AG97" s="68"/>
      <c r="AH97" s="91"/>
      <c r="AI97" s="91"/>
      <c r="AJ97" s="68">
        <f t="shared" si="59"/>
        <v>6703</v>
      </c>
      <c r="AK97" s="68"/>
      <c r="AL97" s="91"/>
      <c r="AM97" s="91"/>
      <c r="AN97" s="68">
        <f t="shared" si="60"/>
        <v>6703</v>
      </c>
      <c r="AO97" s="68"/>
      <c r="AP97" s="91"/>
      <c r="AQ97" s="91"/>
      <c r="AR97" s="62">
        <f t="shared" si="40"/>
        <v>6703</v>
      </c>
      <c r="AS97" s="68">
        <f t="shared" si="69"/>
        <v>0</v>
      </c>
      <c r="AT97" s="91"/>
      <c r="AU97" s="91"/>
      <c r="AV97" s="68">
        <f t="shared" si="76"/>
        <v>6703</v>
      </c>
      <c r="AW97" s="68"/>
      <c r="AX97" s="91"/>
      <c r="AY97" s="91"/>
      <c r="AZ97" s="68">
        <f t="shared" si="62"/>
        <v>6703</v>
      </c>
      <c r="BA97" s="68"/>
      <c r="BB97" s="91"/>
      <c r="BC97" s="91"/>
      <c r="BD97" s="68">
        <f t="shared" si="77"/>
        <v>6703</v>
      </c>
      <c r="BE97" s="68"/>
      <c r="BF97" s="91"/>
      <c r="BG97" s="91"/>
      <c r="BH97" s="68">
        <f t="shared" si="78"/>
        <v>6703</v>
      </c>
      <c r="BI97" s="68"/>
      <c r="BJ97" s="91"/>
      <c r="BK97" s="91"/>
      <c r="BL97" s="68">
        <f t="shared" si="79"/>
        <v>6703</v>
      </c>
      <c r="BM97" s="68"/>
      <c r="BN97" s="91"/>
      <c r="BO97" s="91"/>
      <c r="BP97" s="68">
        <f t="shared" si="80"/>
        <v>6703</v>
      </c>
      <c r="BQ97" s="68"/>
      <c r="BR97" s="68"/>
      <c r="BS97" s="68"/>
      <c r="BT97" s="68">
        <f>D97+BR97-BS97</f>
        <v>6703</v>
      </c>
      <c r="BU97" s="68"/>
      <c r="BV97" s="31"/>
      <c r="BW97" s="32"/>
      <c r="BX97" s="27"/>
      <c r="BY97" s="32"/>
      <c r="BZ97" s="32">
        <f t="shared" si="52"/>
        <v>6703</v>
      </c>
      <c r="CA97" s="32"/>
      <c r="CB97" s="32"/>
      <c r="CC97" s="51">
        <v>6703</v>
      </c>
      <c r="CD97" s="32"/>
      <c r="CE97" s="32"/>
      <c r="CF97" s="32">
        <f>+CC97</f>
        <v>6703</v>
      </c>
      <c r="CG97" s="32"/>
    </row>
    <row r="98" spans="1:86" x14ac:dyDescent="0.5">
      <c r="A98" s="61">
        <v>93</v>
      </c>
      <c r="B98" s="81" t="s">
        <v>11</v>
      </c>
      <c r="C98" s="67"/>
      <c r="D98" s="68">
        <f>+'กระดาษทำการ 30 เม.ย.58'!BP94</f>
        <v>0</v>
      </c>
      <c r="E98" s="68">
        <f>+'กระดาษทำการ 30 เม.ย.58'!BQ94</f>
        <v>0</v>
      </c>
      <c r="F98" s="91"/>
      <c r="G98" s="91"/>
      <c r="H98" s="62">
        <f t="shared" si="70"/>
        <v>0</v>
      </c>
      <c r="I98" s="68"/>
      <c r="J98" s="91"/>
      <c r="K98" s="91"/>
      <c r="L98" s="68">
        <f>+H98+J98-K98</f>
        <v>0</v>
      </c>
      <c r="M98" s="68"/>
      <c r="N98" s="91"/>
      <c r="O98" s="91"/>
      <c r="P98" s="68">
        <f t="shared" si="54"/>
        <v>0</v>
      </c>
      <c r="Q98" s="68"/>
      <c r="R98" s="91"/>
      <c r="S98" s="91"/>
      <c r="T98" s="68">
        <f t="shared" si="55"/>
        <v>0</v>
      </c>
      <c r="U98" s="68"/>
      <c r="V98" s="91"/>
      <c r="W98" s="91"/>
      <c r="X98" s="68">
        <f t="shared" si="56"/>
        <v>0</v>
      </c>
      <c r="Y98" s="68"/>
      <c r="Z98" s="91"/>
      <c r="AA98" s="91"/>
      <c r="AB98" s="68">
        <f t="shared" si="57"/>
        <v>0</v>
      </c>
      <c r="AC98" s="68"/>
      <c r="AD98" s="91"/>
      <c r="AE98" s="91"/>
      <c r="AF98" s="68">
        <f t="shared" si="58"/>
        <v>0</v>
      </c>
      <c r="AG98" s="68"/>
      <c r="AH98" s="91"/>
      <c r="AI98" s="91"/>
      <c r="AJ98" s="68">
        <f>+AF98+AH98-AI98</f>
        <v>0</v>
      </c>
      <c r="AK98" s="68"/>
      <c r="AL98" s="91"/>
      <c r="AM98" s="91"/>
      <c r="AN98" s="68">
        <f t="shared" si="60"/>
        <v>0</v>
      </c>
      <c r="AO98" s="68"/>
      <c r="AP98" s="91"/>
      <c r="AQ98" s="91"/>
      <c r="AR98" s="62">
        <f t="shared" si="40"/>
        <v>0</v>
      </c>
      <c r="AS98" s="68">
        <f t="shared" si="69"/>
        <v>0</v>
      </c>
      <c r="AT98" s="91"/>
      <c r="AU98" s="91"/>
      <c r="AV98" s="68">
        <f t="shared" si="76"/>
        <v>0</v>
      </c>
      <c r="AW98" s="68"/>
      <c r="AX98" s="91"/>
      <c r="AY98" s="91"/>
      <c r="AZ98" s="68">
        <f t="shared" si="62"/>
        <v>0</v>
      </c>
      <c r="BA98" s="68"/>
      <c r="BB98" s="91"/>
      <c r="BC98" s="91"/>
      <c r="BD98" s="68">
        <f t="shared" si="77"/>
        <v>0</v>
      </c>
      <c r="BE98" s="68"/>
      <c r="BF98" s="91"/>
      <c r="BG98" s="91"/>
      <c r="BH98" s="68">
        <f t="shared" si="78"/>
        <v>0</v>
      </c>
      <c r="BI98" s="68"/>
      <c r="BJ98" s="91"/>
      <c r="BK98" s="91"/>
      <c r="BL98" s="68">
        <f t="shared" si="79"/>
        <v>0</v>
      </c>
      <c r="BM98" s="68"/>
      <c r="BN98" s="91"/>
      <c r="BO98" s="91"/>
      <c r="BP98" s="68">
        <f t="shared" si="80"/>
        <v>0</v>
      </c>
      <c r="BQ98" s="68"/>
      <c r="BR98" s="68"/>
      <c r="BS98" s="68"/>
      <c r="BT98" s="68"/>
      <c r="BU98" s="68"/>
      <c r="BV98" s="31"/>
      <c r="BW98" s="32"/>
      <c r="BX98" s="27"/>
      <c r="BY98" s="32"/>
      <c r="BZ98" s="32"/>
      <c r="CA98" s="32"/>
      <c r="CB98" s="32"/>
      <c r="CC98" s="32">
        <v>282811</v>
      </c>
      <c r="CD98" s="32">
        <f>CC98</f>
        <v>282811</v>
      </c>
      <c r="CE98" s="32"/>
      <c r="CF98" s="32"/>
      <c r="CG98" s="32"/>
    </row>
    <row r="99" spans="1:86" x14ac:dyDescent="0.5">
      <c r="A99" s="61">
        <v>94</v>
      </c>
      <c r="B99" s="81" t="s">
        <v>169</v>
      </c>
      <c r="C99" s="67"/>
      <c r="D99" s="68">
        <f>+'กระดาษทำการ 30 เม.ย.58'!BP95</f>
        <v>0</v>
      </c>
      <c r="E99" s="68">
        <v>149492.67000000001</v>
      </c>
      <c r="F99" s="91"/>
      <c r="G99" s="91"/>
      <c r="H99" s="68">
        <f t="shared" si="70"/>
        <v>0</v>
      </c>
      <c r="I99" s="68">
        <f>+E99</f>
        <v>149492.67000000001</v>
      </c>
      <c r="J99" s="91"/>
      <c r="K99" s="91"/>
      <c r="L99" s="68"/>
      <c r="M99" s="68">
        <f>+I99</f>
        <v>149492.67000000001</v>
      </c>
      <c r="N99" s="91"/>
      <c r="O99" s="91"/>
      <c r="P99" s="68">
        <f t="shared" si="54"/>
        <v>0</v>
      </c>
      <c r="Q99" s="68">
        <f>+M99+O99-N99</f>
        <v>149492.67000000001</v>
      </c>
      <c r="R99" s="91"/>
      <c r="S99" s="91"/>
      <c r="T99" s="68">
        <f t="shared" si="55"/>
        <v>0</v>
      </c>
      <c r="U99" s="68">
        <f>+Q99+S99-R99</f>
        <v>149492.67000000001</v>
      </c>
      <c r="V99" s="91"/>
      <c r="W99" s="91"/>
      <c r="X99" s="68">
        <f t="shared" si="56"/>
        <v>0</v>
      </c>
      <c r="Y99" s="68">
        <f>+U99+W99-V99</f>
        <v>149492.67000000001</v>
      </c>
      <c r="Z99" s="91"/>
      <c r="AA99" s="91"/>
      <c r="AB99" s="68"/>
      <c r="AC99" s="68">
        <f>+Y99+AA99-Z99</f>
        <v>149492.67000000001</v>
      </c>
      <c r="AD99" s="91"/>
      <c r="AE99" s="91"/>
      <c r="AF99" s="68"/>
      <c r="AG99" s="68">
        <f>+AC99</f>
        <v>149492.67000000001</v>
      </c>
      <c r="AH99" s="91"/>
      <c r="AI99" s="91"/>
      <c r="AJ99" s="68">
        <f t="shared" si="59"/>
        <v>0</v>
      </c>
      <c r="AK99" s="68">
        <f>+AG99+AI99-AH99</f>
        <v>149492.67000000001</v>
      </c>
      <c r="AL99" s="91"/>
      <c r="AM99" s="91"/>
      <c r="AN99" s="68"/>
      <c r="AO99" s="68">
        <f>+AK99</f>
        <v>149492.67000000001</v>
      </c>
      <c r="AP99" s="91"/>
      <c r="AQ99" s="91"/>
      <c r="AR99" s="68">
        <f t="shared" si="40"/>
        <v>0</v>
      </c>
      <c r="AS99" s="68">
        <f t="shared" si="69"/>
        <v>149492.67000000001</v>
      </c>
      <c r="AT99" s="91"/>
      <c r="AU99" s="91"/>
      <c r="AV99" s="68">
        <f t="shared" si="76"/>
        <v>0</v>
      </c>
      <c r="AW99" s="68">
        <f>+AS99</f>
        <v>149492.67000000001</v>
      </c>
      <c r="AX99" s="91"/>
      <c r="AY99" s="91"/>
      <c r="AZ99" s="68"/>
      <c r="BA99" s="68">
        <f>+AW99</f>
        <v>149492.67000000001</v>
      </c>
      <c r="BB99" s="91"/>
      <c r="BC99" s="91"/>
      <c r="BD99" s="68"/>
      <c r="BE99" s="68">
        <f>+BA99</f>
        <v>149492.67000000001</v>
      </c>
      <c r="BF99" s="91"/>
      <c r="BG99" s="91"/>
      <c r="BH99" s="68"/>
      <c r="BI99" s="68">
        <f>+BE99</f>
        <v>149492.67000000001</v>
      </c>
      <c r="BJ99" s="91"/>
      <c r="BK99" s="91"/>
      <c r="BL99" s="68"/>
      <c r="BM99" s="68">
        <f>+BI99</f>
        <v>149492.67000000001</v>
      </c>
      <c r="BN99" s="91"/>
      <c r="BO99" s="91"/>
      <c r="BP99" s="68"/>
      <c r="BQ99" s="68">
        <f>+BM99</f>
        <v>149492.67000000001</v>
      </c>
      <c r="BR99" s="66"/>
      <c r="BS99" s="66"/>
      <c r="BT99" s="66"/>
      <c r="BU99" s="66"/>
      <c r="BV99" s="42"/>
      <c r="BW99" s="43"/>
      <c r="BX99" s="39"/>
      <c r="BY99" s="43"/>
      <c r="BZ99" s="43"/>
      <c r="CA99" s="43"/>
      <c r="CB99" s="43"/>
      <c r="CC99" s="43"/>
      <c r="CD99" s="43">
        <v>345819.67</v>
      </c>
      <c r="CE99" s="43"/>
      <c r="CF99" s="43"/>
      <c r="CG99" s="43">
        <f>CD99</f>
        <v>345819.67</v>
      </c>
    </row>
    <row r="100" spans="1:86" s="57" customFormat="1" ht="22.5" thickBot="1" x14ac:dyDescent="0.55000000000000004">
      <c r="A100" s="7"/>
      <c r="B100" s="86"/>
      <c r="C100" s="9"/>
      <c r="D100" s="72">
        <f t="shared" ref="D100:AI100" si="81">SUM(D7:D99)</f>
        <v>8079872.1899999995</v>
      </c>
      <c r="E100" s="72">
        <f t="shared" si="81"/>
        <v>8079872.1899999995</v>
      </c>
      <c r="F100" s="94">
        <f t="shared" si="81"/>
        <v>654637</v>
      </c>
      <c r="G100" s="94">
        <f t="shared" si="81"/>
        <v>654637</v>
      </c>
      <c r="H100" s="72">
        <f t="shared" si="81"/>
        <v>8088967.1899999995</v>
      </c>
      <c r="I100" s="72">
        <f t="shared" si="81"/>
        <v>8088967.1899999995</v>
      </c>
      <c r="J100" s="94">
        <f t="shared" si="81"/>
        <v>180447.48</v>
      </c>
      <c r="K100" s="94">
        <f t="shared" si="81"/>
        <v>180447.47999999998</v>
      </c>
      <c r="L100" s="72">
        <f t="shared" si="81"/>
        <v>8151236.3699999992</v>
      </c>
      <c r="M100" s="72">
        <f t="shared" si="81"/>
        <v>8151236.3700000001</v>
      </c>
      <c r="N100" s="94">
        <f t="shared" si="81"/>
        <v>736956.62999999989</v>
      </c>
      <c r="O100" s="94">
        <f t="shared" si="81"/>
        <v>736956.62999999989</v>
      </c>
      <c r="P100" s="72">
        <f t="shared" si="81"/>
        <v>8257483.6199999992</v>
      </c>
      <c r="Q100" s="72">
        <f t="shared" si="81"/>
        <v>8257483.6199999992</v>
      </c>
      <c r="R100" s="94">
        <f t="shared" si="81"/>
        <v>70093</v>
      </c>
      <c r="S100" s="94">
        <f t="shared" si="81"/>
        <v>70093</v>
      </c>
      <c r="T100" s="72">
        <f t="shared" si="81"/>
        <v>8271523.6199999992</v>
      </c>
      <c r="U100" s="72">
        <f t="shared" si="81"/>
        <v>8271523.6199999992</v>
      </c>
      <c r="V100" s="94">
        <f t="shared" si="81"/>
        <v>27140.879999999997</v>
      </c>
      <c r="W100" s="94">
        <f t="shared" si="81"/>
        <v>27140.880000000001</v>
      </c>
      <c r="X100" s="72">
        <f t="shared" si="81"/>
        <v>8286677.4999999991</v>
      </c>
      <c r="Y100" s="72">
        <f t="shared" si="81"/>
        <v>8286677.4999999991</v>
      </c>
      <c r="Z100" s="94">
        <f t="shared" si="81"/>
        <v>401242.81000000006</v>
      </c>
      <c r="AA100" s="94">
        <f t="shared" si="81"/>
        <v>401242.81</v>
      </c>
      <c r="AB100" s="72">
        <f t="shared" si="81"/>
        <v>8320009.4699999988</v>
      </c>
      <c r="AC100" s="72">
        <f t="shared" si="81"/>
        <v>8320009.4699999997</v>
      </c>
      <c r="AD100" s="94">
        <f t="shared" si="81"/>
        <v>217843.14</v>
      </c>
      <c r="AE100" s="94">
        <f t="shared" si="81"/>
        <v>217843.13999999998</v>
      </c>
      <c r="AF100" s="72">
        <f t="shared" si="81"/>
        <v>8372059.1599999992</v>
      </c>
      <c r="AG100" s="72">
        <f t="shared" si="81"/>
        <v>8372059.1600000001</v>
      </c>
      <c r="AH100" s="94">
        <f t="shared" si="81"/>
        <v>115436.69</v>
      </c>
      <c r="AI100" s="94">
        <f t="shared" si="81"/>
        <v>115436.69</v>
      </c>
      <c r="AJ100" s="72">
        <f t="shared" ref="AJ100:BM100" si="82">SUM(AJ7:AJ99)</f>
        <v>8402899.1600000001</v>
      </c>
      <c r="AK100" s="72">
        <f t="shared" si="82"/>
        <v>8402899.1600000001</v>
      </c>
      <c r="AL100" s="94">
        <f t="shared" si="82"/>
        <v>1716650.67</v>
      </c>
      <c r="AM100" s="94">
        <f t="shared" si="82"/>
        <v>1716650.67</v>
      </c>
      <c r="AN100" s="72">
        <f t="shared" si="82"/>
        <v>8478905.339999998</v>
      </c>
      <c r="AO100" s="72">
        <f t="shared" si="82"/>
        <v>8478905.3399999999</v>
      </c>
      <c r="AP100" s="94">
        <f t="shared" si="82"/>
        <v>1190178.1000000001</v>
      </c>
      <c r="AQ100" s="94">
        <f t="shared" si="82"/>
        <v>1190178.0999999999</v>
      </c>
      <c r="AR100" s="72">
        <f t="shared" si="82"/>
        <v>8595442.4999999981</v>
      </c>
      <c r="AS100" s="72">
        <f t="shared" si="82"/>
        <v>8595442.5</v>
      </c>
      <c r="AT100" s="94">
        <f t="shared" si="82"/>
        <v>1644359.34</v>
      </c>
      <c r="AU100" s="94">
        <f t="shared" si="82"/>
        <v>1644359.3399999999</v>
      </c>
      <c r="AV100" s="72">
        <f t="shared" si="82"/>
        <v>8680959.2199999969</v>
      </c>
      <c r="AW100" s="72">
        <f t="shared" si="82"/>
        <v>8680959.2200000007</v>
      </c>
      <c r="AX100" s="94">
        <f t="shared" si="82"/>
        <v>2391717.04</v>
      </c>
      <c r="AY100" s="94">
        <f t="shared" si="82"/>
        <v>2391717.04</v>
      </c>
      <c r="AZ100" s="72">
        <f t="shared" si="82"/>
        <v>8810933.8899999987</v>
      </c>
      <c r="BA100" s="72">
        <f t="shared" si="82"/>
        <v>8810933.8900000006</v>
      </c>
      <c r="BB100" s="94">
        <f t="shared" si="82"/>
        <v>184068.34000000003</v>
      </c>
      <c r="BC100" s="94">
        <f t="shared" si="82"/>
        <v>184068.34000000003</v>
      </c>
      <c r="BD100" s="72">
        <f t="shared" si="82"/>
        <v>8783765.3899999987</v>
      </c>
      <c r="BE100" s="72">
        <f t="shared" si="82"/>
        <v>8783765.3899999987</v>
      </c>
      <c r="BF100" s="94">
        <f t="shared" si="82"/>
        <v>85780</v>
      </c>
      <c r="BG100" s="94">
        <f t="shared" si="82"/>
        <v>85780</v>
      </c>
      <c r="BH100" s="125">
        <f t="shared" si="82"/>
        <v>8783955.3899999987</v>
      </c>
      <c r="BI100" s="125">
        <f t="shared" si="82"/>
        <v>8783955.3899999987</v>
      </c>
      <c r="BJ100" s="94">
        <f t="shared" si="82"/>
        <v>70530</v>
      </c>
      <c r="BK100" s="94">
        <f t="shared" si="82"/>
        <v>70530</v>
      </c>
      <c r="BL100" s="125">
        <f t="shared" si="82"/>
        <v>8783955.3899999987</v>
      </c>
      <c r="BM100" s="125">
        <f t="shared" si="82"/>
        <v>8783955.3899999987</v>
      </c>
      <c r="BN100" s="94">
        <f t="shared" ref="BN100:BQ100" si="83">SUM(BN7:BN99)</f>
        <v>88246.489999999991</v>
      </c>
      <c r="BO100" s="94">
        <f t="shared" si="83"/>
        <v>88246.49</v>
      </c>
      <c r="BP100" s="125">
        <f t="shared" si="83"/>
        <v>8805082.7199999988</v>
      </c>
      <c r="BQ100" s="125">
        <f t="shared" si="83"/>
        <v>8805232.7200000007</v>
      </c>
      <c r="BR100" s="72">
        <f>SUM(BR7:BR99)</f>
        <v>0</v>
      </c>
      <c r="BS100" s="72">
        <f>SUM(BS7:BS99)</f>
        <v>0</v>
      </c>
      <c r="BT100" s="72">
        <f>SUM(BT7:BT99)</f>
        <v>8065132.1899999995</v>
      </c>
      <c r="BU100" s="72">
        <f>SUM(BU7:BU99)</f>
        <v>7930379.5199999996</v>
      </c>
      <c r="BV100" s="73"/>
      <c r="BW100" s="72">
        <f>SUM(BW7:BW99)</f>
        <v>867422.49000000011</v>
      </c>
      <c r="BX100" s="73"/>
      <c r="BY100" s="72">
        <f>SUM(BY7:BY99)</f>
        <v>867422.48999999987</v>
      </c>
      <c r="BZ100" s="72">
        <f>SUM(BZ7:BZ98)</f>
        <v>8199370.2599999988</v>
      </c>
      <c r="CA100" s="72">
        <f>SUM(CA7:CA98)</f>
        <v>8067595.5900000008</v>
      </c>
      <c r="CB100" s="72">
        <f>SUM(CB7:CB98)</f>
        <v>0</v>
      </c>
      <c r="CC100" s="72">
        <f>SUM(CC7:CC98)</f>
        <v>306994</v>
      </c>
      <c r="CD100" s="72">
        <f>SUM(CD67:CD99)</f>
        <v>821276.02</v>
      </c>
      <c r="CE100" s="72">
        <f>SUM(CE7:CE98)</f>
        <v>482355.49</v>
      </c>
      <c r="CF100" s="72">
        <f>SUM(CF7:CF99)</f>
        <v>8006724.9099999992</v>
      </c>
      <c r="CG100" s="72">
        <f>SUM(CG7:CG99)</f>
        <v>7931291.7699999996</v>
      </c>
      <c r="CH100" s="74"/>
    </row>
    <row r="101" spans="1:86" ht="22.5" thickTop="1" x14ac:dyDescent="0.5">
      <c r="BH101" s="112"/>
      <c r="BI101" s="113"/>
      <c r="BL101" s="112"/>
      <c r="BM101" s="113"/>
      <c r="BP101" s="112"/>
      <c r="BQ101" s="113"/>
    </row>
    <row r="102" spans="1:86" ht="24" x14ac:dyDescent="0.55000000000000004">
      <c r="BH102" s="123"/>
      <c r="BI102" s="123"/>
      <c r="BL102" s="126"/>
      <c r="BM102" s="126"/>
      <c r="BP102" s="127"/>
      <c r="BQ102" s="127"/>
    </row>
    <row r="103" spans="1:86" ht="24" x14ac:dyDescent="0.55000000000000004">
      <c r="BH103" s="123"/>
      <c r="BI103" s="123"/>
      <c r="BL103" s="126"/>
      <c r="BM103" s="126"/>
      <c r="BP103" s="127"/>
      <c r="BQ103" s="127"/>
    </row>
    <row r="104" spans="1:86" ht="24" x14ac:dyDescent="0.55000000000000004">
      <c r="BH104" s="123"/>
      <c r="BI104" s="123"/>
      <c r="BL104" s="126"/>
      <c r="BM104" s="126"/>
      <c r="BP104" s="127"/>
      <c r="BQ104" s="127"/>
    </row>
    <row r="105" spans="1:86" x14ac:dyDescent="0.5">
      <c r="BH105" s="16"/>
      <c r="BI105" s="16"/>
      <c r="BL105" s="16"/>
      <c r="BM105" s="16"/>
      <c r="BP105" s="16"/>
      <c r="BQ105" s="16"/>
    </row>
    <row r="106" spans="1:86" x14ac:dyDescent="0.5">
      <c r="BH106" s="13"/>
      <c r="BI106" s="13"/>
      <c r="BL106" s="13"/>
      <c r="BM106" s="13"/>
      <c r="BP106" s="13"/>
      <c r="BQ106" s="13"/>
    </row>
    <row r="107" spans="1:86" x14ac:dyDescent="0.5">
      <c r="BH107" s="13"/>
      <c r="BI107" s="13"/>
      <c r="BL107" s="13"/>
      <c r="BM107" s="13"/>
      <c r="BP107" s="13"/>
      <c r="BQ107" s="13"/>
    </row>
    <row r="108" spans="1:86" x14ac:dyDescent="0.5">
      <c r="BH108" s="13"/>
      <c r="BI108" s="13"/>
      <c r="BL108" s="13"/>
      <c r="BM108" s="13"/>
      <c r="BP108" s="13"/>
      <c r="BQ108" s="13"/>
    </row>
    <row r="109" spans="1:86" x14ac:dyDescent="0.5">
      <c r="BH109" s="13"/>
      <c r="BI109" s="13"/>
      <c r="BL109" s="13"/>
      <c r="BM109" s="13"/>
      <c r="BP109" s="13"/>
      <c r="BQ109" s="13"/>
    </row>
    <row r="110" spans="1:86" x14ac:dyDescent="0.5">
      <c r="BH110" s="13"/>
      <c r="BI110" s="13"/>
      <c r="BL110" s="13"/>
      <c r="BM110" s="13"/>
      <c r="BP110" s="13"/>
      <c r="BQ110" s="13"/>
    </row>
    <row r="111" spans="1:86" x14ac:dyDescent="0.5">
      <c r="BH111" s="13"/>
      <c r="BI111" s="13"/>
      <c r="BL111" s="13"/>
      <c r="BM111" s="13"/>
      <c r="BP111" s="13"/>
      <c r="BQ111" s="13"/>
    </row>
    <row r="112" spans="1:86" x14ac:dyDescent="0.5">
      <c r="BH112" s="13"/>
      <c r="BI112" s="13"/>
      <c r="BL112" s="13"/>
      <c r="BM112" s="13"/>
      <c r="BP112" s="13"/>
      <c r="BQ112" s="13"/>
    </row>
    <row r="113" spans="60:69" x14ac:dyDescent="0.5">
      <c r="BH113" s="13"/>
      <c r="BI113" s="13"/>
      <c r="BL113" s="13"/>
      <c r="BM113" s="13"/>
      <c r="BP113" s="13"/>
      <c r="BQ113" s="13"/>
    </row>
    <row r="114" spans="60:69" x14ac:dyDescent="0.5">
      <c r="BH114" s="13"/>
      <c r="BI114" s="13"/>
      <c r="BL114" s="13"/>
      <c r="BM114" s="13"/>
      <c r="BP114" s="13"/>
      <c r="BQ114" s="13"/>
    </row>
    <row r="115" spans="60:69" x14ac:dyDescent="0.5">
      <c r="BH115" s="13"/>
      <c r="BI115" s="13"/>
      <c r="BL115" s="13"/>
      <c r="BM115" s="13"/>
      <c r="BP115" s="13"/>
      <c r="BQ115" s="13"/>
    </row>
    <row r="116" spans="60:69" x14ac:dyDescent="0.5">
      <c r="BH116" s="13"/>
      <c r="BI116" s="13"/>
      <c r="BL116" s="13"/>
      <c r="BM116" s="13"/>
      <c r="BP116" s="13"/>
      <c r="BQ116" s="13"/>
    </row>
    <row r="117" spans="60:69" x14ac:dyDescent="0.5">
      <c r="BH117" s="13"/>
      <c r="BI117" s="13"/>
      <c r="BL117" s="13"/>
      <c r="BM117" s="13"/>
      <c r="BP117" s="13"/>
      <c r="BQ117" s="13"/>
    </row>
    <row r="118" spans="60:69" x14ac:dyDescent="0.5">
      <c r="BH118" s="13"/>
      <c r="BI118" s="13"/>
      <c r="BL118" s="13"/>
      <c r="BM118" s="13"/>
      <c r="BP118" s="13"/>
      <c r="BQ118" s="13"/>
    </row>
    <row r="119" spans="60:69" x14ac:dyDescent="0.5">
      <c r="BH119" s="13"/>
      <c r="BI119" s="13"/>
      <c r="BL119" s="13"/>
      <c r="BM119" s="13"/>
      <c r="BP119" s="13"/>
      <c r="BQ119" s="13"/>
    </row>
    <row r="120" spans="60:69" x14ac:dyDescent="0.5">
      <c r="BH120" s="13"/>
      <c r="BI120" s="13"/>
      <c r="BL120" s="13"/>
      <c r="BM120" s="13"/>
      <c r="BP120" s="13"/>
      <c r="BQ120" s="13"/>
    </row>
    <row r="121" spans="60:69" x14ac:dyDescent="0.5">
      <c r="BH121" s="13"/>
      <c r="BI121" s="13"/>
      <c r="BL121" s="13"/>
      <c r="BM121" s="13"/>
      <c r="BP121" s="13"/>
      <c r="BQ121" s="13"/>
    </row>
    <row r="122" spans="60:69" x14ac:dyDescent="0.5">
      <c r="BH122" s="13"/>
      <c r="BI122" s="13"/>
      <c r="BL122" s="13"/>
      <c r="BM122" s="13"/>
      <c r="BP122" s="13"/>
      <c r="BQ122" s="13"/>
    </row>
    <row r="123" spans="60:69" x14ac:dyDescent="0.5">
      <c r="BH123" s="13"/>
      <c r="BI123" s="13"/>
      <c r="BL123" s="13"/>
      <c r="BM123" s="13"/>
      <c r="BP123" s="13"/>
      <c r="BQ123" s="13"/>
    </row>
    <row r="124" spans="60:69" x14ac:dyDescent="0.5">
      <c r="BH124" s="13"/>
      <c r="BI124" s="13"/>
      <c r="BL124" s="13"/>
      <c r="BM124" s="13"/>
      <c r="BP124" s="13"/>
      <c r="BQ124" s="13"/>
    </row>
    <row r="125" spans="60:69" x14ac:dyDescent="0.5">
      <c r="BH125" s="13"/>
      <c r="BI125" s="13"/>
      <c r="BL125" s="13"/>
      <c r="BM125" s="13"/>
      <c r="BP125" s="13"/>
      <c r="BQ125" s="13"/>
    </row>
    <row r="126" spans="60:69" x14ac:dyDescent="0.5">
      <c r="BH126" s="13"/>
      <c r="BI126" s="13"/>
      <c r="BL126" s="13"/>
      <c r="BM126" s="13"/>
      <c r="BP126" s="13"/>
      <c r="BQ126" s="13"/>
    </row>
    <row r="127" spans="60:69" x14ac:dyDescent="0.5">
      <c r="BH127" s="13"/>
      <c r="BI127" s="13"/>
      <c r="BL127" s="13"/>
      <c r="BM127" s="13"/>
      <c r="BP127" s="13"/>
      <c r="BQ127" s="13"/>
    </row>
    <row r="128" spans="60:69" x14ac:dyDescent="0.5">
      <c r="BH128" s="13"/>
      <c r="BI128" s="13"/>
      <c r="BL128" s="13"/>
      <c r="BM128" s="13"/>
      <c r="BP128" s="13"/>
      <c r="BQ128" s="13"/>
    </row>
    <row r="129" spans="60:69" x14ac:dyDescent="0.5">
      <c r="BH129" s="13"/>
      <c r="BI129" s="13"/>
      <c r="BL129" s="13"/>
      <c r="BM129" s="13"/>
      <c r="BP129" s="13"/>
      <c r="BQ129" s="13"/>
    </row>
    <row r="130" spans="60:69" x14ac:dyDescent="0.5">
      <c r="BH130" s="13"/>
      <c r="BI130" s="13"/>
      <c r="BL130" s="13"/>
      <c r="BM130" s="13"/>
      <c r="BP130" s="13"/>
      <c r="BQ130" s="13"/>
    </row>
    <row r="131" spans="60:69" x14ac:dyDescent="0.5">
      <c r="BH131" s="13"/>
      <c r="BI131" s="13"/>
      <c r="BL131" s="13"/>
      <c r="BM131" s="13"/>
      <c r="BP131" s="13"/>
      <c r="BQ131" s="13"/>
    </row>
    <row r="132" spans="60:69" x14ac:dyDescent="0.5">
      <c r="BH132" s="13"/>
      <c r="BI132" s="13"/>
      <c r="BL132" s="13"/>
      <c r="BM132" s="13"/>
      <c r="BP132" s="13"/>
      <c r="BQ132" s="13"/>
    </row>
    <row r="133" spans="60:69" x14ac:dyDescent="0.5">
      <c r="BH133" s="13"/>
      <c r="BI133" s="13"/>
      <c r="BL133" s="13"/>
      <c r="BM133" s="13"/>
      <c r="BP133" s="13"/>
      <c r="BQ133" s="13"/>
    </row>
    <row r="134" spans="60:69" x14ac:dyDescent="0.5">
      <c r="BH134" s="13"/>
      <c r="BI134" s="13"/>
      <c r="BL134" s="13"/>
      <c r="BM134" s="13"/>
      <c r="BP134" s="13"/>
      <c r="BQ134" s="13"/>
    </row>
    <row r="135" spans="60:69" x14ac:dyDescent="0.5">
      <c r="BH135" s="13"/>
      <c r="BI135" s="13"/>
      <c r="BL135" s="13"/>
      <c r="BM135" s="13"/>
      <c r="BP135" s="13"/>
      <c r="BQ135" s="13"/>
    </row>
    <row r="136" spans="60:69" x14ac:dyDescent="0.5">
      <c r="BH136" s="13"/>
      <c r="BI136" s="13"/>
      <c r="BL136" s="13"/>
      <c r="BM136" s="13"/>
      <c r="BP136" s="13"/>
      <c r="BQ136" s="13"/>
    </row>
    <row r="137" spans="60:69" x14ac:dyDescent="0.5">
      <c r="BH137" s="13"/>
      <c r="BI137" s="13"/>
      <c r="BL137" s="13"/>
      <c r="BM137" s="13"/>
      <c r="BP137" s="13"/>
      <c r="BQ137" s="13"/>
    </row>
    <row r="138" spans="60:69" x14ac:dyDescent="0.5">
      <c r="BH138" s="13"/>
      <c r="BI138" s="13"/>
      <c r="BL138" s="13"/>
      <c r="BM138" s="13"/>
      <c r="BP138" s="13"/>
      <c r="BQ138" s="13"/>
    </row>
    <row r="139" spans="60:69" x14ac:dyDescent="0.5">
      <c r="BH139" s="13"/>
      <c r="BI139" s="13"/>
      <c r="BL139" s="13"/>
      <c r="BM139" s="13"/>
      <c r="BP139" s="13"/>
      <c r="BQ139" s="13"/>
    </row>
    <row r="140" spans="60:69" x14ac:dyDescent="0.5">
      <c r="BH140" s="13"/>
      <c r="BI140" s="13"/>
      <c r="BL140" s="13"/>
      <c r="BM140" s="13"/>
      <c r="BP140" s="13"/>
      <c r="BQ140" s="13"/>
    </row>
    <row r="141" spans="60:69" x14ac:dyDescent="0.5">
      <c r="BH141" s="13"/>
      <c r="BI141" s="13"/>
      <c r="BL141" s="13"/>
      <c r="BM141" s="13"/>
      <c r="BP141" s="13"/>
      <c r="BQ141" s="13"/>
    </row>
    <row r="142" spans="60:69" x14ac:dyDescent="0.5">
      <c r="BH142" s="13"/>
      <c r="BI142" s="13"/>
      <c r="BL142" s="13"/>
      <c r="BM142" s="13"/>
      <c r="BP142" s="13"/>
      <c r="BQ142" s="13"/>
    </row>
    <row r="143" spans="60:69" x14ac:dyDescent="0.5">
      <c r="BH143" s="13"/>
      <c r="BI143" s="13"/>
      <c r="BL143" s="13"/>
      <c r="BM143" s="13"/>
      <c r="BP143" s="13"/>
      <c r="BQ143" s="13"/>
    </row>
    <row r="144" spans="60:69" x14ac:dyDescent="0.5">
      <c r="BH144" s="13"/>
      <c r="BI144" s="13"/>
      <c r="BL144" s="13"/>
      <c r="BM144" s="13"/>
      <c r="BP144" s="13"/>
      <c r="BQ144" s="13"/>
    </row>
    <row r="145" spans="60:69" x14ac:dyDescent="0.5">
      <c r="BH145" s="13"/>
      <c r="BI145" s="13"/>
      <c r="BL145" s="13"/>
      <c r="BM145" s="13"/>
      <c r="BP145" s="13"/>
      <c r="BQ145" s="13"/>
    </row>
    <row r="146" spans="60:69" x14ac:dyDescent="0.5">
      <c r="BH146" s="13"/>
      <c r="BI146" s="13"/>
      <c r="BL146" s="13"/>
      <c r="BM146" s="13"/>
      <c r="BP146" s="13"/>
      <c r="BQ146" s="13"/>
    </row>
    <row r="147" spans="60:69" x14ac:dyDescent="0.5">
      <c r="BH147" s="13"/>
      <c r="BI147" s="13"/>
      <c r="BL147" s="13"/>
      <c r="BM147" s="13"/>
      <c r="BP147" s="13"/>
      <c r="BQ147" s="13"/>
    </row>
    <row r="148" spans="60:69" x14ac:dyDescent="0.5">
      <c r="BH148" s="13"/>
      <c r="BI148" s="13"/>
      <c r="BL148" s="13"/>
      <c r="BM148" s="13"/>
      <c r="BP148" s="13"/>
      <c r="BQ148" s="13"/>
    </row>
    <row r="149" spans="60:69" x14ac:dyDescent="0.5">
      <c r="BH149" s="13"/>
      <c r="BI149" s="13"/>
      <c r="BL149" s="13"/>
      <c r="BM149" s="13"/>
      <c r="BP149" s="13"/>
      <c r="BQ149" s="13"/>
    </row>
    <row r="150" spans="60:69" x14ac:dyDescent="0.5">
      <c r="BH150" s="13"/>
      <c r="BI150" s="13"/>
      <c r="BL150" s="13"/>
      <c r="BM150" s="13"/>
      <c r="BP150" s="13"/>
      <c r="BQ150" s="13"/>
    </row>
  </sheetData>
  <mergeCells count="43">
    <mergeCell ref="BP4:BQ5"/>
    <mergeCell ref="CD4:CE5"/>
    <mergeCell ref="CF4:CG5"/>
    <mergeCell ref="AT4:AU5"/>
    <mergeCell ref="AV4:AW5"/>
    <mergeCell ref="AX4:AY5"/>
    <mergeCell ref="AZ4:BA5"/>
    <mergeCell ref="BR4:BS5"/>
    <mergeCell ref="BT4:BU5"/>
    <mergeCell ref="BV4:BY5"/>
    <mergeCell ref="BZ4:CA5"/>
    <mergeCell ref="BF4:BG5"/>
    <mergeCell ref="BH4:BI5"/>
    <mergeCell ref="CB4:CC5"/>
    <mergeCell ref="BJ4:BK5"/>
    <mergeCell ref="BL4:BM5"/>
    <mergeCell ref="BN4:BO5"/>
    <mergeCell ref="AR4:AS5"/>
    <mergeCell ref="BB4:BC5"/>
    <mergeCell ref="BD4:BE5"/>
    <mergeCell ref="AH4:AI5"/>
    <mergeCell ref="AJ4:AK5"/>
    <mergeCell ref="AL4:AM5"/>
    <mergeCell ref="AN4:AO5"/>
    <mergeCell ref="AP4:AQ5"/>
    <mergeCell ref="AF4:AG5"/>
    <mergeCell ref="J4:K5"/>
    <mergeCell ref="L4:M5"/>
    <mergeCell ref="N4:O5"/>
    <mergeCell ref="P4:Q5"/>
    <mergeCell ref="R4:S5"/>
    <mergeCell ref="T4:U5"/>
    <mergeCell ref="V4:W5"/>
    <mergeCell ref="X4:Y5"/>
    <mergeCell ref="Z4:AA5"/>
    <mergeCell ref="AB4:AC5"/>
    <mergeCell ref="AD4:AE5"/>
    <mergeCell ref="H4:I5"/>
    <mergeCell ref="A4:A5"/>
    <mergeCell ref="B4:B6"/>
    <mergeCell ref="C4:C5"/>
    <mergeCell ref="D4:E5"/>
    <mergeCell ref="F4:G5"/>
  </mergeCells>
  <pageMargins left="0.39370078740157483" right="0.15748031496062992" top="0.31496062992125984" bottom="0.19685039370078741" header="0.31496062992125984" footer="0.31496062992125984"/>
  <pageSetup paperSize="9" orientation="landscape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12</vt:i4>
      </vt:variant>
    </vt:vector>
  </HeadingPairs>
  <TitlesOfParts>
    <vt:vector size="21" baseType="lpstr">
      <vt:lpstr>ยืนยันยอดลูกหนี้</vt:lpstr>
      <vt:lpstr>กระดาษทำการ 30 เม.ย.58</vt:lpstr>
      <vt:lpstr>งบทดลอง</vt:lpstr>
      <vt:lpstr>งบทดลองส่งรายเดือนปี59-60</vt:lpstr>
      <vt:lpstr>งบทดลองส่งรายเดือนปี60-61</vt:lpstr>
      <vt:lpstr>งบทดลองระหว่างเดือน 30เม.ย.69</vt:lpstr>
      <vt:lpstr>Sheet2</vt:lpstr>
      <vt:lpstr>Sheet1</vt:lpstr>
      <vt:lpstr>งบทดลอง แก้ไขใหม่</vt:lpstr>
      <vt:lpstr>Sheet1!Print_Area</vt:lpstr>
      <vt:lpstr>'กระดาษทำการ 30 เม.ย.58'!Print_Area</vt:lpstr>
      <vt:lpstr>งบทดลอง!Print_Area</vt:lpstr>
      <vt:lpstr>'งบทดลอง แก้ไขใหม่'!Print_Area</vt:lpstr>
      <vt:lpstr>'งบทดลองระหว่างเดือน 30เม.ย.69'!Print_Area</vt:lpstr>
      <vt:lpstr>'งบทดลองส่งรายเดือนปี59-60'!Print_Area</vt:lpstr>
      <vt:lpstr>'งบทดลองส่งรายเดือนปี60-61'!Print_Area</vt:lpstr>
      <vt:lpstr>'กระดาษทำการ 30 เม.ย.58'!Print_Titles</vt:lpstr>
      <vt:lpstr>งบทดลอง!Print_Titles</vt:lpstr>
      <vt:lpstr>'งบทดลอง แก้ไขใหม่'!Print_Titles</vt:lpstr>
      <vt:lpstr>'งบทดลองระหว่างเดือน 30เม.ย.69'!Print_Titles</vt:lpstr>
      <vt:lpstr>'งบทดลองส่งรายเดือนปี59-60'!Print_Titles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ASrock</cp:lastModifiedBy>
  <cp:lastPrinted>2025-10-09T03:18:50Z</cp:lastPrinted>
  <dcterms:created xsi:type="dcterms:W3CDTF">2006-04-10T23:10:14Z</dcterms:created>
  <dcterms:modified xsi:type="dcterms:W3CDTF">2026-01-19T02:16:55Z</dcterms:modified>
</cp:coreProperties>
</file>